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hristian.jansen\Downloads\"/>
    </mc:Choice>
  </mc:AlternateContent>
  <xr:revisionPtr revIDLastSave="0" documentId="8_{2A0E8356-2430-4D46-9AE0-10FB6F8DADBB}" xr6:coauthVersionLast="47" xr6:coauthVersionMax="47" xr10:uidLastSave="{00000000-0000-0000-0000-000000000000}"/>
  <bookViews>
    <workbookView xWindow="-120" yWindow="-120" windowWidth="29040" windowHeight="15840" tabRatio="854" firstSheet="1" activeTab="1" xr2:uid="{8926A818-C9FF-4CE6-8E1F-1F8D29B79C6E}"/>
  </bookViews>
  <sheets>
    <sheet name="0. Inleiding" sheetId="37" r:id="rId1"/>
    <sheet name="1. Samenvatting" sheetId="18" r:id="rId2"/>
    <sheet name="2. Kostprijs per beheertype" sheetId="29" r:id="rId3"/>
    <sheet name="3. Parameters kostprijsmodel" sheetId="31" r:id="rId4"/>
    <sheet name="4. Beheertypen complexiteit" sheetId="30" r:id="rId5"/>
    <sheet name="5. Vegetatiekartering" sheetId="19" r:id="rId6"/>
    <sheet name="6. Plantenkartering" sheetId="21" r:id="rId7"/>
    <sheet name="7. Broedvogelkartering" sheetId="25" r:id="rId8"/>
    <sheet name="8. Dagvlinders en sprinkhanen" sheetId="23" r:id="rId9"/>
    <sheet name="9. Libellenkartering" sheetId="26" r:id="rId10"/>
    <sheet name="10. Bosstructuurkartering" sheetId="27" r:id="rId11"/>
  </sheets>
  <externalReferences>
    <externalReference r:id="rId12"/>
  </externalReferences>
  <definedNames>
    <definedName name="_xlnm._FilterDatabase" localSheetId="2" hidden="1">'2. Kostprijs per beheertype'!$A$10:$I$178</definedName>
    <definedName name="_xlnm._FilterDatabase" localSheetId="4" hidden="1">'4. Beheertypen complexiteit'!$A$1:$H$59</definedName>
    <definedName name="DDM.activities">'[1]Drop downs'!#REF!</definedName>
    <definedName name="DDM.obligations">'[1]Drop downs'!#REF!</definedName>
    <definedName name="lijstuurtarieven">'[1]Drop downs'!#REF!</definedName>
    <definedName name="TG.dropdown">'[1]Q-Gen - data drop down'!$D:$D</definedName>
    <definedName name="TG.top">[1]Aantallen!$A$3</definedName>
    <definedName name="type1">'[1]Drop downs'!$B$62</definedName>
    <definedName name="type2">'[1]Drop downs'!$B$63</definedName>
    <definedName name="type3">'[1]Drop downs'!$B$64</definedName>
    <definedName name="type4">'[1]Drop downs'!$B$65</definedName>
    <definedName name="type5">'[1]Drop downs'!$B$66</definedName>
    <definedName name="typen">'[1]Drop downs'!$B$62:$B$66</definedName>
    <definedName name="uurtarieven">'[1]Drop downs'!#REF!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1" l="1"/>
  <c r="C17" i="31"/>
  <c r="C16" i="31"/>
  <c r="R9" i="31"/>
  <c r="R8" i="31"/>
  <c r="T56" i="27"/>
  <c r="T55" i="27"/>
  <c r="T54" i="27"/>
  <c r="T53" i="27"/>
  <c r="T50" i="27"/>
  <c r="T49" i="27"/>
  <c r="T48" i="27"/>
  <c r="T43" i="27"/>
  <c r="T42" i="27"/>
  <c r="T41" i="27"/>
  <c r="T40" i="27"/>
  <c r="T36" i="27"/>
  <c r="T35" i="27"/>
  <c r="C24" i="31" l="1"/>
  <c r="C19" i="31"/>
  <c r="N33" i="19"/>
  <c r="N32" i="19"/>
  <c r="M33" i="19"/>
  <c r="M32" i="19"/>
  <c r="L33" i="19"/>
  <c r="L32" i="19"/>
  <c r="K32" i="19"/>
  <c r="K33" i="19"/>
  <c r="C25" i="31" l="1"/>
  <c r="D11" i="31" s="1"/>
  <c r="K43" i="21"/>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9" i="30"/>
  <c r="F10" i="30"/>
  <c r="F11" i="30"/>
  <c r="F12" i="30"/>
  <c r="F13" i="30"/>
  <c r="F14" i="30"/>
  <c r="F15" i="30"/>
  <c r="F16" i="30"/>
  <c r="F17" i="30"/>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38" i="30"/>
  <c r="E39" i="30"/>
  <c r="E40" i="30"/>
  <c r="E41" i="30"/>
  <c r="E42" i="30"/>
  <c r="E43" i="30"/>
  <c r="E44" i="30"/>
  <c r="E45" i="30"/>
  <c r="E46" i="30"/>
  <c r="E47" i="30"/>
  <c r="E48" i="30"/>
  <c r="E49" i="30"/>
  <c r="E50" i="30"/>
  <c r="E51" i="30"/>
  <c r="E52" i="30"/>
  <c r="E53" i="30"/>
  <c r="E54" i="30"/>
  <c r="E55" i="30"/>
  <c r="E56" i="30"/>
  <c r="E57" i="30"/>
  <c r="E58" i="30"/>
  <c r="E5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F9" i="30"/>
  <c r="E9" i="30"/>
  <c r="D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9" i="30"/>
  <c r="L35" i="25" l="1"/>
  <c r="K35" i="25"/>
  <c r="F34" i="31"/>
  <c r="F33" i="31"/>
  <c r="L56" i="26"/>
  <c r="K56" i="26"/>
  <c r="L58" i="25"/>
  <c r="K58" i="25"/>
  <c r="K34" i="25"/>
  <c r="M62" i="21"/>
  <c r="L62" i="21"/>
  <c r="M61" i="21"/>
  <c r="L61" i="21"/>
  <c r="K61" i="21"/>
  <c r="N74" i="19"/>
  <c r="M74" i="19"/>
  <c r="N73" i="19"/>
  <c r="M73" i="19"/>
  <c r="L73" i="19"/>
  <c r="K73" i="19"/>
  <c r="K62" i="21"/>
  <c r="F35" i="31" l="1"/>
  <c r="F36" i="31" s="1"/>
  <c r="K52" i="27"/>
  <c r="K51" i="27"/>
  <c r="K46" i="27"/>
  <c r="K45" i="27"/>
  <c r="K32" i="27"/>
  <c r="K31" i="27"/>
  <c r="K34" i="27"/>
  <c r="K33" i="27"/>
  <c r="L74" i="19"/>
  <c r="K74" i="19"/>
  <c r="L57" i="23"/>
  <c r="L56" i="23"/>
  <c r="K57" i="23"/>
  <c r="K56" i="23"/>
  <c r="L52" i="23"/>
  <c r="L51" i="23"/>
  <c r="L50" i="23"/>
  <c r="K52" i="23"/>
  <c r="K51" i="23"/>
  <c r="K50" i="23"/>
  <c r="L57" i="26"/>
  <c r="K57" i="26"/>
  <c r="L52" i="26"/>
  <c r="L51" i="26"/>
  <c r="L50" i="26"/>
  <c r="K52" i="26"/>
  <c r="K51" i="26"/>
  <c r="K50" i="26"/>
  <c r="L34" i="26"/>
  <c r="L33" i="26"/>
  <c r="L32" i="26"/>
  <c r="K34" i="26"/>
  <c r="K33" i="26"/>
  <c r="K32" i="26"/>
  <c r="L34" i="23" l="1"/>
  <c r="L33" i="23"/>
  <c r="L32" i="23"/>
  <c r="K34" i="23"/>
  <c r="K33" i="23"/>
  <c r="K32" i="23"/>
  <c r="L45" i="26"/>
  <c r="K45" i="26"/>
  <c r="L44" i="26"/>
  <c r="K44" i="26"/>
  <c r="L44" i="23"/>
  <c r="L45" i="23"/>
  <c r="K45" i="23"/>
  <c r="K44" i="23"/>
  <c r="L59" i="25"/>
  <c r="K59" i="25"/>
  <c r="L54" i="25"/>
  <c r="L53" i="25"/>
  <c r="L52" i="25"/>
  <c r="K54" i="25"/>
  <c r="K53" i="25"/>
  <c r="K52" i="25"/>
  <c r="K46" i="25"/>
  <c r="L46" i="25"/>
  <c r="L36" i="25"/>
  <c r="L34" i="25"/>
  <c r="K36" i="25"/>
  <c r="M56" i="21"/>
  <c r="M55" i="21"/>
  <c r="L56" i="21"/>
  <c r="L55" i="21"/>
  <c r="K56" i="21"/>
  <c r="K55" i="21"/>
  <c r="M43" i="21"/>
  <c r="L43" i="21"/>
  <c r="M32" i="21"/>
  <c r="M31" i="21"/>
  <c r="M30" i="21"/>
  <c r="L32" i="21"/>
  <c r="L31" i="21"/>
  <c r="L30" i="21"/>
  <c r="K32" i="21"/>
  <c r="K31" i="21"/>
  <c r="K30" i="21"/>
  <c r="L33" i="21"/>
  <c r="K33" i="21"/>
  <c r="V75" i="19" l="1"/>
  <c r="W75" i="19"/>
  <c r="X75" i="19"/>
  <c r="Y75" i="19"/>
  <c r="V76" i="19"/>
  <c r="W76" i="19"/>
  <c r="X76" i="19"/>
  <c r="Y76" i="19"/>
  <c r="V77" i="19"/>
  <c r="W77" i="19"/>
  <c r="X77" i="19"/>
  <c r="Y77" i="19"/>
  <c r="V78" i="19"/>
  <c r="W78" i="19"/>
  <c r="X78" i="19"/>
  <c r="Y78" i="19"/>
  <c r="V80" i="19"/>
  <c r="W80" i="19"/>
  <c r="X80" i="19"/>
  <c r="Y80" i="19"/>
  <c r="V81" i="19"/>
  <c r="W81" i="19"/>
  <c r="X81" i="19"/>
  <c r="Y81" i="19"/>
  <c r="V82" i="19"/>
  <c r="W82" i="19"/>
  <c r="X82" i="19"/>
  <c r="Y82" i="19"/>
  <c r="V83" i="19"/>
  <c r="W83" i="19"/>
  <c r="X83" i="19"/>
  <c r="Y83" i="19"/>
  <c r="V84" i="19"/>
  <c r="W84" i="19"/>
  <c r="X84" i="19"/>
  <c r="Y84" i="19"/>
  <c r="T75" i="19"/>
  <c r="T76" i="19"/>
  <c r="T77" i="19"/>
  <c r="T78" i="19"/>
  <c r="T79" i="19"/>
  <c r="X79" i="19" s="1"/>
  <c r="T80" i="19"/>
  <c r="T81" i="19"/>
  <c r="T82" i="19"/>
  <c r="T83" i="19"/>
  <c r="T84" i="19"/>
  <c r="N68" i="19"/>
  <c r="N67" i="19"/>
  <c r="M68" i="19"/>
  <c r="M67" i="19"/>
  <c r="L68" i="19"/>
  <c r="L67" i="19"/>
  <c r="K68" i="19"/>
  <c r="K67" i="19"/>
  <c r="M55" i="19"/>
  <c r="L55" i="19"/>
  <c r="N55" i="19"/>
  <c r="K55" i="19"/>
  <c r="L54" i="19"/>
  <c r="M54" i="19"/>
  <c r="N54" i="19"/>
  <c r="K54" i="19"/>
  <c r="L53" i="19"/>
  <c r="M53" i="19"/>
  <c r="N53" i="19"/>
  <c r="K53" i="19"/>
  <c r="L52" i="19"/>
  <c r="M52" i="19"/>
  <c r="N52" i="19"/>
  <c r="K52" i="19"/>
  <c r="N34" i="19"/>
  <c r="N31" i="19"/>
  <c r="M34" i="19"/>
  <c r="M31" i="19"/>
  <c r="L34" i="19"/>
  <c r="L31" i="19"/>
  <c r="K34" i="19"/>
  <c r="K31" i="19"/>
  <c r="V79" i="19" l="1"/>
  <c r="Y79" i="19"/>
  <c r="W79" i="19"/>
  <c r="E11" i="29" l="1"/>
  <c r="D14" i="29"/>
  <c r="J33" i="18"/>
  <c r="L33" i="18" s="1"/>
  <c r="J34" i="18"/>
  <c r="L34" i="18" s="1"/>
  <c r="J35" i="18"/>
  <c r="L35" i="18" s="1"/>
  <c r="J36" i="18"/>
  <c r="L36" i="18" s="1"/>
  <c r="J37" i="18"/>
  <c r="L37" i="18" s="1"/>
  <c r="J38" i="18"/>
  <c r="L38" i="18" s="1"/>
  <c r="J39" i="18"/>
  <c r="L39" i="18" s="1"/>
  <c r="J40" i="18"/>
  <c r="L40" i="18" s="1"/>
  <c r="J41" i="18"/>
  <c r="L41" i="18" s="1"/>
  <c r="J42" i="18"/>
  <c r="L42" i="18" s="1"/>
  <c r="G28" i="18"/>
  <c r="G29" i="18"/>
  <c r="G30" i="18"/>
  <c r="G31" i="18"/>
  <c r="G32" i="18"/>
  <c r="G33" i="18"/>
  <c r="G34" i="18"/>
  <c r="G35" i="18"/>
  <c r="G36" i="18"/>
  <c r="G37" i="18"/>
  <c r="G38" i="18"/>
  <c r="G39" i="18"/>
  <c r="G40" i="18"/>
  <c r="G41" i="18"/>
  <c r="G42" i="18"/>
  <c r="G27" i="18"/>
  <c r="J18" i="18" l="1"/>
  <c r="J17" i="18"/>
  <c r="J16" i="18"/>
  <c r="J13" i="18"/>
  <c r="J12" i="18"/>
  <c r="J11" i="18"/>
  <c r="A1" i="29" l="1" a="1"/>
  <c r="A1" i="29" s="1"/>
  <c r="A1" i="37" a="1"/>
  <c r="A1" i="37" s="1"/>
  <c r="D130" i="29" l="1"/>
  <c r="D133" i="29"/>
  <c r="D132" i="29"/>
  <c r="I41" i="30"/>
  <c r="I42" i="30"/>
  <c r="I43" i="30"/>
  <c r="I44" i="30"/>
  <c r="I39" i="30"/>
  <c r="I38" i="30"/>
  <c r="D131" i="29"/>
  <c r="I40" i="30" l="1"/>
  <c r="D129" i="29"/>
  <c r="R32" i="23" l="1"/>
  <c r="T32" i="23" s="1"/>
  <c r="U32" i="23" l="1"/>
  <c r="D174" i="29" l="1"/>
  <c r="F174" i="29"/>
  <c r="I174" i="29" s="1"/>
  <c r="E174" i="29"/>
  <c r="H174" i="29" s="1"/>
  <c r="K174" i="29" s="1"/>
  <c r="C59" i="18" s="1"/>
  <c r="U22" i="26"/>
  <c r="U23" i="26"/>
  <c r="U24" i="26"/>
  <c r="U25" i="26"/>
  <c r="U26" i="26"/>
  <c r="U35" i="26"/>
  <c r="U36" i="26"/>
  <c r="U37" i="26"/>
  <c r="U40" i="26"/>
  <c r="U41" i="26"/>
  <c r="U42" i="26"/>
  <c r="U43" i="26"/>
  <c r="U46" i="26"/>
  <c r="U47" i="26"/>
  <c r="U48" i="26"/>
  <c r="U49" i="26"/>
  <c r="U53" i="26"/>
  <c r="U54" i="26"/>
  <c r="U55" i="26"/>
  <c r="U58" i="26"/>
  <c r="U59" i="26"/>
  <c r="U60" i="26"/>
  <c r="U61" i="26"/>
  <c r="U21" i="26"/>
  <c r="T22" i="26"/>
  <c r="T23" i="26"/>
  <c r="T24" i="26"/>
  <c r="T25" i="26"/>
  <c r="T26" i="26"/>
  <c r="T35" i="26"/>
  <c r="T36" i="26"/>
  <c r="T37" i="26"/>
  <c r="T40" i="26"/>
  <c r="T41" i="26"/>
  <c r="T42" i="26"/>
  <c r="T43" i="26"/>
  <c r="T46" i="26"/>
  <c r="T47" i="26"/>
  <c r="T48" i="26"/>
  <c r="T49" i="26"/>
  <c r="T53" i="26"/>
  <c r="T54" i="26"/>
  <c r="T55" i="26"/>
  <c r="T58" i="26"/>
  <c r="T59" i="26"/>
  <c r="T60" i="26"/>
  <c r="T61" i="26"/>
  <c r="T21" i="23"/>
  <c r="T21" i="26"/>
  <c r="R61" i="26"/>
  <c r="R60" i="26"/>
  <c r="R59" i="26"/>
  <c r="R58" i="26"/>
  <c r="R57" i="26"/>
  <c r="U57" i="26" s="1"/>
  <c r="R56" i="26"/>
  <c r="U56" i="26" s="1"/>
  <c r="R55" i="26"/>
  <c r="R54" i="26"/>
  <c r="R53" i="26"/>
  <c r="R52" i="26"/>
  <c r="T52" i="26" s="1"/>
  <c r="R51" i="26"/>
  <c r="T51" i="26" s="1"/>
  <c r="R50" i="26"/>
  <c r="U50" i="26" s="1"/>
  <c r="R49" i="26"/>
  <c r="R48" i="26"/>
  <c r="R47" i="26"/>
  <c r="R46" i="26"/>
  <c r="R45" i="26"/>
  <c r="T45" i="26" s="1"/>
  <c r="R44" i="26"/>
  <c r="U44" i="26" s="1"/>
  <c r="R43" i="26"/>
  <c r="R42" i="26"/>
  <c r="R41" i="26"/>
  <c r="R40" i="26"/>
  <c r="R39" i="26"/>
  <c r="U39" i="26" s="1"/>
  <c r="R38" i="26"/>
  <c r="T38" i="26" s="1"/>
  <c r="R37" i="26"/>
  <c r="R36" i="26"/>
  <c r="R35" i="26"/>
  <c r="R34" i="26"/>
  <c r="U34" i="26" s="1"/>
  <c r="R33" i="26"/>
  <c r="T33" i="26" s="1"/>
  <c r="R32" i="26"/>
  <c r="U32" i="26" s="1"/>
  <c r="R26" i="26"/>
  <c r="R25" i="26"/>
  <c r="R24" i="26"/>
  <c r="R23" i="26"/>
  <c r="R22" i="26"/>
  <c r="S22" i="26" s="1"/>
  <c r="R21" i="26"/>
  <c r="S21" i="26" s="1"/>
  <c r="R33" i="23"/>
  <c r="T33" i="23" s="1"/>
  <c r="R34" i="23"/>
  <c r="U34" i="23" s="1"/>
  <c r="R35" i="23"/>
  <c r="R36" i="23"/>
  <c r="R37" i="23"/>
  <c r="R38" i="23"/>
  <c r="R39" i="23"/>
  <c r="T39" i="23" s="1"/>
  <c r="R40" i="23"/>
  <c r="R41" i="23"/>
  <c r="R42" i="23"/>
  <c r="R43" i="23"/>
  <c r="R44" i="23"/>
  <c r="U44" i="23" s="1"/>
  <c r="R45" i="23"/>
  <c r="U45" i="23" s="1"/>
  <c r="R46" i="23"/>
  <c r="R47" i="23"/>
  <c r="R48" i="23"/>
  <c r="R49" i="23"/>
  <c r="R50" i="23"/>
  <c r="U50" i="23" s="1"/>
  <c r="R51" i="23"/>
  <c r="U51" i="23" s="1"/>
  <c r="R52" i="23"/>
  <c r="U52" i="23" s="1"/>
  <c r="R53" i="23"/>
  <c r="R54" i="23"/>
  <c r="R55" i="23"/>
  <c r="R56" i="23"/>
  <c r="T56" i="23" s="1"/>
  <c r="R57" i="23"/>
  <c r="U57" i="23" s="1"/>
  <c r="R58" i="23"/>
  <c r="R59" i="23"/>
  <c r="R60" i="23"/>
  <c r="R61" i="23"/>
  <c r="R21" i="23"/>
  <c r="S21" i="23" s="1"/>
  <c r="R22" i="23"/>
  <c r="S22" i="23" s="1"/>
  <c r="R23" i="23"/>
  <c r="R24" i="23"/>
  <c r="R25" i="23"/>
  <c r="R26" i="23"/>
  <c r="U35" i="23"/>
  <c r="U36" i="23"/>
  <c r="U37" i="23"/>
  <c r="U40" i="23"/>
  <c r="U41" i="23"/>
  <c r="U42" i="23"/>
  <c r="U43" i="23"/>
  <c r="U46" i="23"/>
  <c r="U47" i="23"/>
  <c r="U48" i="23"/>
  <c r="U49" i="23"/>
  <c r="U53" i="23"/>
  <c r="U54" i="23"/>
  <c r="U55" i="23"/>
  <c r="U58" i="23"/>
  <c r="U59" i="23"/>
  <c r="U60" i="23"/>
  <c r="U61" i="23"/>
  <c r="U21" i="23"/>
  <c r="U22" i="23"/>
  <c r="U23" i="23"/>
  <c r="U24" i="23"/>
  <c r="U25" i="23"/>
  <c r="U26" i="23"/>
  <c r="T35" i="23"/>
  <c r="T36" i="23"/>
  <c r="T37" i="23"/>
  <c r="T40" i="23"/>
  <c r="T41" i="23"/>
  <c r="T42" i="23"/>
  <c r="T43" i="23"/>
  <c r="T46" i="23"/>
  <c r="T47" i="23"/>
  <c r="T48" i="23"/>
  <c r="T49" i="23"/>
  <c r="T53" i="23"/>
  <c r="T54" i="23"/>
  <c r="T55" i="23"/>
  <c r="T58" i="23"/>
  <c r="T59" i="23"/>
  <c r="T60" i="23"/>
  <c r="T61" i="23"/>
  <c r="T22" i="23"/>
  <c r="T23" i="23"/>
  <c r="T24" i="23"/>
  <c r="T25" i="23"/>
  <c r="T26" i="23"/>
  <c r="T23" i="25"/>
  <c r="T24" i="25"/>
  <c r="T25" i="25"/>
  <c r="T26" i="25"/>
  <c r="T27" i="25"/>
  <c r="T28" i="25"/>
  <c r="T29" i="25"/>
  <c r="T31" i="25"/>
  <c r="T37" i="25"/>
  <c r="T38" i="25"/>
  <c r="T39" i="25"/>
  <c r="T42" i="25"/>
  <c r="T43" i="25"/>
  <c r="T44" i="25"/>
  <c r="T45" i="25"/>
  <c r="T48" i="25"/>
  <c r="T49" i="25"/>
  <c r="T50" i="25"/>
  <c r="T51" i="25"/>
  <c r="T55" i="25"/>
  <c r="T56" i="25"/>
  <c r="T57" i="25"/>
  <c r="T60" i="25"/>
  <c r="T61" i="25"/>
  <c r="T62" i="25"/>
  <c r="T63" i="25"/>
  <c r="U23" i="25"/>
  <c r="U24" i="25"/>
  <c r="U25" i="25"/>
  <c r="U26" i="25"/>
  <c r="U27" i="25"/>
  <c r="U28" i="25"/>
  <c r="U29" i="25"/>
  <c r="U31" i="25"/>
  <c r="U37" i="25"/>
  <c r="U38" i="25"/>
  <c r="U39" i="25"/>
  <c r="U42" i="25"/>
  <c r="U43" i="25"/>
  <c r="U44" i="25"/>
  <c r="U45" i="25"/>
  <c r="U48" i="25"/>
  <c r="U49" i="25"/>
  <c r="U50" i="25"/>
  <c r="U51" i="25"/>
  <c r="U55" i="25"/>
  <c r="U56" i="25"/>
  <c r="U57" i="25"/>
  <c r="U60" i="25"/>
  <c r="U61" i="25"/>
  <c r="U62" i="25"/>
  <c r="U63" i="25"/>
  <c r="R35" i="25"/>
  <c r="U35" i="25" s="1"/>
  <c r="R36" i="25"/>
  <c r="R37" i="25"/>
  <c r="R38" i="25"/>
  <c r="R39" i="25"/>
  <c r="R40" i="25"/>
  <c r="U40" i="25" s="1"/>
  <c r="R41" i="25"/>
  <c r="U41" i="25" s="1"/>
  <c r="R42" i="25"/>
  <c r="R43" i="25"/>
  <c r="R44" i="25"/>
  <c r="R45" i="25"/>
  <c r="R46" i="25"/>
  <c r="T46" i="25" s="1"/>
  <c r="R47" i="25"/>
  <c r="T47" i="25" s="1"/>
  <c r="R48" i="25"/>
  <c r="R49" i="25"/>
  <c r="R50" i="25"/>
  <c r="R51" i="25"/>
  <c r="R52" i="25"/>
  <c r="U52" i="25" s="1"/>
  <c r="R53" i="25"/>
  <c r="T53" i="25" s="1"/>
  <c r="R54" i="25"/>
  <c r="T54" i="25" s="1"/>
  <c r="R55" i="25"/>
  <c r="R56" i="25"/>
  <c r="R57" i="25"/>
  <c r="R58" i="25"/>
  <c r="R59" i="25"/>
  <c r="U59" i="25" s="1"/>
  <c r="R60" i="25"/>
  <c r="R61" i="25"/>
  <c r="R62" i="25"/>
  <c r="R63" i="25"/>
  <c r="R23" i="25"/>
  <c r="R24" i="25"/>
  <c r="R25" i="25"/>
  <c r="R26" i="25"/>
  <c r="R27" i="25"/>
  <c r="R28" i="25"/>
  <c r="R29" i="25"/>
  <c r="R31" i="25"/>
  <c r="R34" i="25"/>
  <c r="T34" i="25" s="1"/>
  <c r="V21" i="21"/>
  <c r="V22" i="21"/>
  <c r="V23" i="21"/>
  <c r="T44" i="23" l="1"/>
  <c r="U39" i="23"/>
  <c r="D7" i="23"/>
  <c r="U58" i="25"/>
  <c r="D6" i="25" s="1"/>
  <c r="T58" i="25"/>
  <c r="U36" i="25"/>
  <c r="T36" i="25"/>
  <c r="U34" i="25"/>
  <c r="U53" i="25"/>
  <c r="T44" i="26"/>
  <c r="T34" i="26"/>
  <c r="U38" i="23"/>
  <c r="T52" i="23"/>
  <c r="T51" i="23"/>
  <c r="T57" i="23"/>
  <c r="C6" i="23" s="1"/>
  <c r="U56" i="23"/>
  <c r="U33" i="23"/>
  <c r="F7" i="23"/>
  <c r="T40" i="25"/>
  <c r="T41" i="25"/>
  <c r="U47" i="25"/>
  <c r="T59" i="25"/>
  <c r="U52" i="26"/>
  <c r="J12" i="29"/>
  <c r="U54" i="25"/>
  <c r="U46" i="25"/>
  <c r="T38" i="23"/>
  <c r="U51" i="26"/>
  <c r="T52" i="25"/>
  <c r="T35" i="25"/>
  <c r="T45" i="23"/>
  <c r="T50" i="23"/>
  <c r="D8" i="25"/>
  <c r="T34" i="23"/>
  <c r="T56" i="26"/>
  <c r="U33" i="26"/>
  <c r="T32" i="26"/>
  <c r="T50" i="26"/>
  <c r="U38" i="26"/>
  <c r="D8" i="26" s="1"/>
  <c r="T57" i="26"/>
  <c r="U45" i="26"/>
  <c r="T39" i="26"/>
  <c r="C8" i="26" s="1"/>
  <c r="R33" i="27"/>
  <c r="T33" i="27" s="1"/>
  <c r="R21" i="27"/>
  <c r="R22" i="27"/>
  <c r="R23" i="27"/>
  <c r="R24" i="27"/>
  <c r="R25" i="27"/>
  <c r="R26" i="27"/>
  <c r="R54" i="27"/>
  <c r="R55" i="27"/>
  <c r="R56" i="27"/>
  <c r="R32" i="27"/>
  <c r="T32" i="27" s="1"/>
  <c r="R34" i="27"/>
  <c r="T34" i="27" s="1"/>
  <c r="R35" i="27"/>
  <c r="R36" i="27"/>
  <c r="R37" i="27"/>
  <c r="R38" i="27"/>
  <c r="T38" i="27" s="1"/>
  <c r="R39" i="27"/>
  <c r="T39" i="27" s="1"/>
  <c r="R40" i="27"/>
  <c r="R41" i="27"/>
  <c r="R42" i="27"/>
  <c r="R43" i="27"/>
  <c r="R45" i="27"/>
  <c r="R46" i="27"/>
  <c r="T46" i="27" s="1"/>
  <c r="R47" i="27"/>
  <c r="R48" i="27"/>
  <c r="R49" i="27"/>
  <c r="R50" i="27"/>
  <c r="R51" i="27"/>
  <c r="T51" i="27" s="1"/>
  <c r="R52" i="27"/>
  <c r="T52" i="27" s="1"/>
  <c r="R53" i="27"/>
  <c r="R31" i="27"/>
  <c r="T31" i="27" s="1"/>
  <c r="S21" i="21"/>
  <c r="S22" i="21"/>
  <c r="S23" i="21"/>
  <c r="S24" i="21"/>
  <c r="S25" i="21"/>
  <c r="S26" i="21"/>
  <c r="S27" i="21"/>
  <c r="S28" i="21"/>
  <c r="S31" i="21"/>
  <c r="S32" i="21"/>
  <c r="S33" i="21"/>
  <c r="S34" i="21"/>
  <c r="S35" i="21"/>
  <c r="S36" i="21"/>
  <c r="S37" i="21"/>
  <c r="S38" i="21"/>
  <c r="S39" i="21"/>
  <c r="S40" i="21"/>
  <c r="S41" i="21"/>
  <c r="S42" i="21"/>
  <c r="S43" i="21"/>
  <c r="S44" i="21"/>
  <c r="S45" i="21"/>
  <c r="S46" i="21"/>
  <c r="S47" i="21"/>
  <c r="S48" i="21"/>
  <c r="S50" i="21"/>
  <c r="S51" i="21"/>
  <c r="S52" i="21"/>
  <c r="S53" i="21"/>
  <c r="S54" i="21"/>
  <c r="S55" i="21"/>
  <c r="S56" i="21"/>
  <c r="S57" i="21"/>
  <c r="S58" i="21"/>
  <c r="S59" i="21"/>
  <c r="S60" i="21"/>
  <c r="S61" i="21"/>
  <c r="S62" i="21"/>
  <c r="S63" i="21"/>
  <c r="S64" i="21"/>
  <c r="S65" i="21"/>
  <c r="S66" i="21"/>
  <c r="S30" i="21"/>
  <c r="U21" i="21"/>
  <c r="U22" i="21"/>
  <c r="C8" i="27" l="1"/>
  <c r="C6" i="27"/>
  <c r="U45" i="27"/>
  <c r="T45" i="27"/>
  <c r="C7" i="27" s="1"/>
  <c r="U31" i="27"/>
  <c r="U38" i="27"/>
  <c r="U39" i="27"/>
  <c r="E7" i="23"/>
  <c r="F6" i="25"/>
  <c r="C6" i="25"/>
  <c r="F6" i="23"/>
  <c r="C7" i="25"/>
  <c r="F8" i="25"/>
  <c r="E8" i="25"/>
  <c r="D8" i="23"/>
  <c r="F8" i="23"/>
  <c r="C8" i="23"/>
  <c r="E8" i="23"/>
  <c r="E6" i="23"/>
  <c r="C7" i="23"/>
  <c r="C8" i="25"/>
  <c r="E8" i="26"/>
  <c r="F7" i="25"/>
  <c r="J132" i="29"/>
  <c r="J148" i="29"/>
  <c r="F8" i="26"/>
  <c r="F7" i="26"/>
  <c r="D6" i="23"/>
  <c r="D7" i="25"/>
  <c r="C7" i="26"/>
  <c r="E7" i="26"/>
  <c r="F6" i="26"/>
  <c r="D6" i="26"/>
  <c r="D7" i="26"/>
  <c r="C6" i="26"/>
  <c r="E6" i="26"/>
  <c r="E7" i="25"/>
  <c r="J40" i="29"/>
  <c r="J69" i="29"/>
  <c r="J104" i="29"/>
  <c r="J138" i="29"/>
  <c r="J163" i="29"/>
  <c r="J52" i="29"/>
  <c r="J96" i="29"/>
  <c r="J36" i="29"/>
  <c r="J135" i="29"/>
  <c r="J43" i="29"/>
  <c r="J74" i="29"/>
  <c r="J108" i="29"/>
  <c r="J141" i="29"/>
  <c r="J166" i="29"/>
  <c r="J147" i="29"/>
  <c r="J16" i="29"/>
  <c r="J47" i="29"/>
  <c r="J79" i="29"/>
  <c r="J113" i="29"/>
  <c r="J145" i="29"/>
  <c r="J168" i="29"/>
  <c r="J83" i="29"/>
  <c r="J64" i="29"/>
  <c r="J177" i="29"/>
  <c r="J20" i="29"/>
  <c r="J117" i="29"/>
  <c r="J172" i="29"/>
  <c r="J156" i="29"/>
  <c r="J24" i="29"/>
  <c r="J55" i="29"/>
  <c r="J86" i="29"/>
  <c r="J121" i="29"/>
  <c r="J149" i="29"/>
  <c r="J173" i="29"/>
  <c r="J67" i="29"/>
  <c r="J160" i="29"/>
  <c r="J28" i="29"/>
  <c r="J60" i="29"/>
  <c r="J91" i="29"/>
  <c r="J125" i="29"/>
  <c r="J153" i="29"/>
  <c r="J175" i="29"/>
  <c r="J32" i="29"/>
  <c r="J129" i="29"/>
  <c r="J99" i="29"/>
  <c r="J11" i="29"/>
  <c r="E6" i="25"/>
  <c r="T35" i="19"/>
  <c r="T36" i="19"/>
  <c r="T37" i="19"/>
  <c r="T38" i="19"/>
  <c r="T39" i="19"/>
  <c r="T40" i="19"/>
  <c r="T41" i="19"/>
  <c r="T42" i="19"/>
  <c r="T43" i="19"/>
  <c r="T44" i="19"/>
  <c r="T45" i="19"/>
  <c r="T46" i="19"/>
  <c r="T47" i="19"/>
  <c r="W47" i="19" s="1"/>
  <c r="T48" i="19"/>
  <c r="T49" i="19"/>
  <c r="T50" i="19"/>
  <c r="T51" i="19"/>
  <c r="T52" i="19"/>
  <c r="T53" i="19"/>
  <c r="W53" i="19" s="1"/>
  <c r="T54" i="19"/>
  <c r="T55" i="19"/>
  <c r="T56" i="19"/>
  <c r="T57" i="19"/>
  <c r="T58" i="19"/>
  <c r="T62" i="19"/>
  <c r="T63" i="19"/>
  <c r="T64" i="19"/>
  <c r="T65" i="19"/>
  <c r="T66" i="19"/>
  <c r="T67" i="19"/>
  <c r="T68" i="19"/>
  <c r="T69" i="19"/>
  <c r="T70" i="19"/>
  <c r="T71" i="19"/>
  <c r="T72" i="19"/>
  <c r="T73" i="19"/>
  <c r="T74" i="19"/>
  <c r="T33" i="19"/>
  <c r="T34" i="19"/>
  <c r="W34" i="19" s="1"/>
  <c r="T31" i="19"/>
  <c r="V31" i="19" s="1"/>
  <c r="T32" i="19"/>
  <c r="X32" i="19" s="1"/>
  <c r="C9" i="27" l="1"/>
  <c r="D8" i="27"/>
  <c r="F9" i="23"/>
  <c r="L17" i="18" s="1"/>
  <c r="C9" i="23"/>
  <c r="R6" i="23" s="1"/>
  <c r="D9" i="23"/>
  <c r="S7" i="23" s="1"/>
  <c r="V46" i="19"/>
  <c r="X46" i="19"/>
  <c r="Y46" i="19"/>
  <c r="W46" i="19"/>
  <c r="C9" i="25"/>
  <c r="F9" i="26"/>
  <c r="M17" i="18" s="1"/>
  <c r="E9" i="26"/>
  <c r="M16" i="18" s="1"/>
  <c r="C9" i="26"/>
  <c r="R8" i="26" s="1"/>
  <c r="E9" i="23"/>
  <c r="L16" i="18" s="1"/>
  <c r="E9" i="25"/>
  <c r="K16" i="18" s="1"/>
  <c r="D9" i="26"/>
  <c r="S8" i="26" s="1"/>
  <c r="T24" i="19"/>
  <c r="T25" i="19"/>
  <c r="T26" i="19"/>
  <c r="T27" i="19"/>
  <c r="T28" i="19"/>
  <c r="T30" i="19"/>
  <c r="D151" i="29"/>
  <c r="D158" i="29"/>
  <c r="D162" i="29"/>
  <c r="D165" i="29"/>
  <c r="D167" i="29"/>
  <c r="D169" i="29"/>
  <c r="D25" i="29"/>
  <c r="D29" i="29"/>
  <c r="D33" i="29"/>
  <c r="D37" i="29"/>
  <c r="D49" i="29"/>
  <c r="D54" i="29"/>
  <c r="D56" i="29"/>
  <c r="D71" i="29"/>
  <c r="D80" i="29"/>
  <c r="D84" i="29"/>
  <c r="D65" i="29"/>
  <c r="D76" i="29"/>
  <c r="D88" i="29"/>
  <c r="D93" i="29"/>
  <c r="D101" i="29"/>
  <c r="D110" i="29"/>
  <c r="D119" i="29"/>
  <c r="D123" i="29"/>
  <c r="D126" i="29"/>
  <c r="D136" i="29"/>
  <c r="D139" i="29"/>
  <c r="D13" i="29"/>
  <c r="D17" i="29"/>
  <c r="D21" i="29"/>
  <c r="D44" i="29"/>
  <c r="D48" i="29"/>
  <c r="D53" i="29"/>
  <c r="D57" i="29"/>
  <c r="D61" i="29"/>
  <c r="D70" i="29"/>
  <c r="D75" i="29"/>
  <c r="D87" i="29"/>
  <c r="D92" i="29"/>
  <c r="D97" i="29"/>
  <c r="D100" i="29"/>
  <c r="D105" i="29"/>
  <c r="D109" i="29"/>
  <c r="D114" i="29"/>
  <c r="D118" i="29"/>
  <c r="D122" i="29"/>
  <c r="D142" i="29"/>
  <c r="D146" i="29"/>
  <c r="D147" i="29"/>
  <c r="D148" i="29"/>
  <c r="D150" i="29"/>
  <c r="D154" i="29"/>
  <c r="D157" i="29"/>
  <c r="D161" i="29"/>
  <c r="D164" i="29"/>
  <c r="D166" i="29"/>
  <c r="D168" i="29"/>
  <c r="D171" i="29"/>
  <c r="D172" i="29"/>
  <c r="D173" i="29"/>
  <c r="D176" i="29"/>
  <c r="D178" i="29"/>
  <c r="I45" i="30"/>
  <c r="I46" i="30"/>
  <c r="I52" i="30"/>
  <c r="I53" i="30"/>
  <c r="I55" i="30"/>
  <c r="I56" i="30"/>
  <c r="I57" i="30"/>
  <c r="I9" i="30"/>
  <c r="D11" i="29" s="1"/>
  <c r="D15" i="29"/>
  <c r="D19" i="29"/>
  <c r="D23" i="29"/>
  <c r="D27" i="29"/>
  <c r="D31" i="29"/>
  <c r="D35" i="29"/>
  <c r="D39" i="29"/>
  <c r="D42" i="29"/>
  <c r="D46" i="29"/>
  <c r="D51" i="29"/>
  <c r="D59" i="29"/>
  <c r="D63" i="29"/>
  <c r="D66" i="29"/>
  <c r="D68" i="29"/>
  <c r="D73" i="29"/>
  <c r="D78" i="29"/>
  <c r="D82" i="29"/>
  <c r="D85" i="29"/>
  <c r="D90" i="29"/>
  <c r="D95" i="29"/>
  <c r="D98" i="29"/>
  <c r="D103" i="29"/>
  <c r="D107" i="29"/>
  <c r="D112" i="29"/>
  <c r="D116" i="29"/>
  <c r="D120" i="29"/>
  <c r="D124" i="29"/>
  <c r="D128" i="29"/>
  <c r="D134" i="29"/>
  <c r="D140" i="29"/>
  <c r="D144" i="29"/>
  <c r="D152" i="29"/>
  <c r="D155" i="29"/>
  <c r="D159" i="29"/>
  <c r="S8" i="23" l="1"/>
  <c r="R8" i="23"/>
  <c r="R7" i="26"/>
  <c r="S6" i="23"/>
  <c r="R6" i="26"/>
  <c r="S6" i="26"/>
  <c r="R7" i="23"/>
  <c r="S7" i="26"/>
  <c r="R8" i="25"/>
  <c r="R7" i="25"/>
  <c r="R6" i="25"/>
  <c r="M12" i="18"/>
  <c r="K11" i="18"/>
  <c r="M11" i="18"/>
  <c r="L12" i="18"/>
  <c r="L11" i="18"/>
  <c r="H8" i="19"/>
  <c r="D8" i="19"/>
  <c r="D86" i="29"/>
  <c r="I29" i="30"/>
  <c r="D89" i="29" s="1"/>
  <c r="E89" i="29" s="1"/>
  <c r="H89" i="29" s="1"/>
  <c r="F46" i="29"/>
  <c r="I46" i="29" s="1"/>
  <c r="E46" i="29"/>
  <c r="H46" i="29" s="1"/>
  <c r="D117" i="29"/>
  <c r="I36" i="30"/>
  <c r="I28" i="30"/>
  <c r="D83" i="29"/>
  <c r="I20" i="30"/>
  <c r="D52" i="29"/>
  <c r="I12" i="30"/>
  <c r="D22" i="29" s="1"/>
  <c r="F22" i="29" s="1"/>
  <c r="I22" i="29" s="1"/>
  <c r="D20" i="29"/>
  <c r="F27" i="29"/>
  <c r="I27" i="29" s="1"/>
  <c r="E27" i="29"/>
  <c r="H27" i="29" s="1"/>
  <c r="F51" i="29"/>
  <c r="I51" i="29" s="1"/>
  <c r="E51" i="29"/>
  <c r="H51" i="29" s="1"/>
  <c r="D121" i="29"/>
  <c r="I37" i="30"/>
  <c r="D55" i="29"/>
  <c r="I21" i="30"/>
  <c r="D58" i="29" s="1"/>
  <c r="E58" i="29" s="1"/>
  <c r="H58" i="29" s="1"/>
  <c r="E42" i="29"/>
  <c r="H42" i="29" s="1"/>
  <c r="F42" i="29"/>
  <c r="I42" i="29" s="1"/>
  <c r="H11" i="29"/>
  <c r="K11" i="29" s="1"/>
  <c r="C11" i="18" s="1"/>
  <c r="F11" i="29"/>
  <c r="I11" i="29" s="1"/>
  <c r="L11" i="29" s="1"/>
  <c r="D11" i="18" s="1"/>
  <c r="D145" i="29"/>
  <c r="I35" i="30"/>
  <c r="D115" i="29" s="1"/>
  <c r="F115" i="29" s="1"/>
  <c r="I115" i="29" s="1"/>
  <c r="D113" i="29"/>
  <c r="I27" i="30"/>
  <c r="D81" i="29" s="1"/>
  <c r="F81" i="29" s="1"/>
  <c r="I81" i="29" s="1"/>
  <c r="D79" i="29"/>
  <c r="D47" i="29"/>
  <c r="I19" i="30"/>
  <c r="D50" i="29" s="1"/>
  <c r="I11" i="30"/>
  <c r="D18" i="29" s="1"/>
  <c r="F18" i="29" s="1"/>
  <c r="I18" i="29" s="1"/>
  <c r="D16" i="29"/>
  <c r="F171" i="29"/>
  <c r="I171" i="29" s="1"/>
  <c r="E171" i="29"/>
  <c r="H171" i="29" s="1"/>
  <c r="D170" i="29"/>
  <c r="I54" i="30"/>
  <c r="E39" i="29"/>
  <c r="H39" i="29" s="1"/>
  <c r="F39" i="29"/>
  <c r="I39" i="29" s="1"/>
  <c r="D177" i="29"/>
  <c r="I59" i="30"/>
  <c r="I51" i="30"/>
  <c r="D163" i="29"/>
  <c r="D143" i="29"/>
  <c r="D141" i="29"/>
  <c r="I34" i="30"/>
  <c r="D111" i="29" s="1"/>
  <c r="F111" i="29" s="1"/>
  <c r="I111" i="29" s="1"/>
  <c r="D108" i="29"/>
  <c r="I26" i="30"/>
  <c r="D77" i="29" s="1"/>
  <c r="E77" i="29" s="1"/>
  <c r="H77" i="29" s="1"/>
  <c r="D74" i="29"/>
  <c r="I18" i="30"/>
  <c r="D45" i="29" s="1"/>
  <c r="D43" i="29"/>
  <c r="I10" i="30"/>
  <c r="E14" i="29" s="1"/>
  <c r="H14" i="29" s="1"/>
  <c r="D12" i="29"/>
  <c r="E37" i="29"/>
  <c r="H37" i="29" s="1"/>
  <c r="F37" i="29"/>
  <c r="I37" i="29" s="1"/>
  <c r="D24" i="29"/>
  <c r="I13" i="30"/>
  <c r="D26" i="29" s="1"/>
  <c r="E49" i="29"/>
  <c r="H49" i="29" s="1"/>
  <c r="F49" i="29"/>
  <c r="I49" i="29" s="1"/>
  <c r="F35" i="29"/>
  <c r="I35" i="29" s="1"/>
  <c r="E35" i="29"/>
  <c r="H35" i="29" s="1"/>
  <c r="I58" i="30"/>
  <c r="D175" i="29"/>
  <c r="D160" i="29"/>
  <c r="I50" i="30"/>
  <c r="D138" i="29"/>
  <c r="I33" i="30"/>
  <c r="D106" i="29" s="1"/>
  <c r="F106" i="29" s="1"/>
  <c r="I106" i="29" s="1"/>
  <c r="D104" i="29"/>
  <c r="D69" i="29"/>
  <c r="I25" i="30"/>
  <c r="D72" i="29" s="1"/>
  <c r="E72" i="29" s="1"/>
  <c r="H72" i="29" s="1"/>
  <c r="I17" i="30"/>
  <c r="D41" i="29" s="1"/>
  <c r="D40" i="29"/>
  <c r="E48" i="29"/>
  <c r="H48" i="29" s="1"/>
  <c r="F48" i="29"/>
  <c r="I48" i="29" s="1"/>
  <c r="F33" i="29"/>
  <c r="I33" i="29" s="1"/>
  <c r="E33" i="29"/>
  <c r="H33" i="29" s="1"/>
  <c r="F31" i="29"/>
  <c r="I31" i="29" s="1"/>
  <c r="E31" i="29"/>
  <c r="H31" i="29" s="1"/>
  <c r="I49" i="30"/>
  <c r="D156" i="29"/>
  <c r="D137" i="29"/>
  <c r="D135" i="29"/>
  <c r="I32" i="30"/>
  <c r="D102" i="29" s="1"/>
  <c r="F102" i="29" s="1"/>
  <c r="I102" i="29" s="1"/>
  <c r="D99" i="29"/>
  <c r="I24" i="30"/>
  <c r="D67" i="29"/>
  <c r="I16" i="30"/>
  <c r="D38" i="29" s="1"/>
  <c r="D36" i="29"/>
  <c r="F44" i="29"/>
  <c r="I44" i="29" s="1"/>
  <c r="E44" i="29"/>
  <c r="H44" i="29" s="1"/>
  <c r="E29" i="29"/>
  <c r="H29" i="29" s="1"/>
  <c r="F29" i="29"/>
  <c r="I29" i="29" s="1"/>
  <c r="E25" i="29"/>
  <c r="H25" i="29" s="1"/>
  <c r="F25" i="29"/>
  <c r="I25" i="29" s="1"/>
  <c r="D153" i="29"/>
  <c r="I48" i="30"/>
  <c r="I31" i="30"/>
  <c r="D96" i="29"/>
  <c r="D64" i="29"/>
  <c r="I23" i="30"/>
  <c r="I15" i="30"/>
  <c r="D34" i="29" s="1"/>
  <c r="D32" i="29"/>
  <c r="D149" i="29"/>
  <c r="I47" i="30"/>
  <c r="D125" i="29"/>
  <c r="D127" i="29"/>
  <c r="E127" i="29" s="1"/>
  <c r="H127" i="29" s="1"/>
  <c r="D91" i="29"/>
  <c r="I30" i="30"/>
  <c r="D94" i="29" s="1"/>
  <c r="E94" i="29" s="1"/>
  <c r="H94" i="29" s="1"/>
  <c r="D60" i="29"/>
  <c r="I22" i="30"/>
  <c r="D62" i="29" s="1"/>
  <c r="F62" i="29" s="1"/>
  <c r="I62" i="29" s="1"/>
  <c r="I14" i="30"/>
  <c r="D30" i="29" s="1"/>
  <c r="D28" i="29"/>
  <c r="F137" i="29"/>
  <c r="I137" i="29" s="1"/>
  <c r="F89" i="29"/>
  <c r="I89" i="29" s="1"/>
  <c r="E22" i="29"/>
  <c r="H22" i="29" s="1"/>
  <c r="E115" i="29"/>
  <c r="H115" i="29" s="1"/>
  <c r="F143" i="29" l="1"/>
  <c r="I143" i="29" s="1"/>
  <c r="E143" i="29"/>
  <c r="H143" i="29" s="1"/>
  <c r="E137" i="29"/>
  <c r="H137" i="29" s="1"/>
  <c r="E18" i="29"/>
  <c r="H18" i="29" s="1"/>
  <c r="F58" i="29"/>
  <c r="I58" i="29" s="1"/>
  <c r="E62" i="29"/>
  <c r="H62" i="29" s="1"/>
  <c r="F77" i="29"/>
  <c r="I77" i="29" s="1"/>
  <c r="E81" i="29"/>
  <c r="H81" i="29" s="1"/>
  <c r="E106" i="29"/>
  <c r="H106" i="29" s="1"/>
  <c r="F14" i="29"/>
  <c r="I14" i="29" s="1"/>
  <c r="F127" i="29"/>
  <c r="I127" i="29" s="1"/>
  <c r="E102" i="29"/>
  <c r="H102" i="29" s="1"/>
  <c r="E111" i="29"/>
  <c r="H111" i="29" s="1"/>
  <c r="F94" i="29"/>
  <c r="I94" i="29" s="1"/>
  <c r="F72" i="29"/>
  <c r="I72" i="29" s="1"/>
  <c r="F170" i="29"/>
  <c r="I170" i="29" s="1"/>
  <c r="L170" i="29" s="1"/>
  <c r="D56" i="18" s="1"/>
  <c r="E170" i="29"/>
  <c r="H170" i="29" s="1"/>
  <c r="K170" i="29" s="1"/>
  <c r="C56" i="18" s="1"/>
  <c r="F47" i="29"/>
  <c r="I47" i="29" s="1"/>
  <c r="E47" i="29"/>
  <c r="H47" i="29" s="1"/>
  <c r="E28" i="29"/>
  <c r="H28" i="29" s="1"/>
  <c r="F28" i="29"/>
  <c r="I28" i="29" s="1"/>
  <c r="F43" i="29"/>
  <c r="I43" i="29" s="1"/>
  <c r="E43" i="29"/>
  <c r="H43" i="29" s="1"/>
  <c r="F50" i="29"/>
  <c r="I50" i="29" s="1"/>
  <c r="E50" i="29"/>
  <c r="H50" i="29" s="1"/>
  <c r="E30" i="29"/>
  <c r="H30" i="29" s="1"/>
  <c r="F30" i="29"/>
  <c r="I30" i="29" s="1"/>
  <c r="E45" i="29"/>
  <c r="H45" i="29" s="1"/>
  <c r="F45" i="29"/>
  <c r="I45" i="29" s="1"/>
  <c r="E32" i="29"/>
  <c r="H32" i="29" s="1"/>
  <c r="F32" i="29"/>
  <c r="I32" i="29" s="1"/>
  <c r="F36" i="29"/>
  <c r="I36" i="29" s="1"/>
  <c r="E36" i="29"/>
  <c r="H36" i="29" s="1"/>
  <c r="E40" i="29"/>
  <c r="H40" i="29" s="1"/>
  <c r="F40" i="29"/>
  <c r="I40" i="29" s="1"/>
  <c r="F26" i="29"/>
  <c r="I26" i="29" s="1"/>
  <c r="E26" i="29"/>
  <c r="H26" i="29" s="1"/>
  <c r="F34" i="29"/>
  <c r="I34" i="29" s="1"/>
  <c r="E34" i="29"/>
  <c r="H34" i="29" s="1"/>
  <c r="F38" i="29"/>
  <c r="I38" i="29" s="1"/>
  <c r="E38" i="29"/>
  <c r="H38" i="29" s="1"/>
  <c r="E41" i="29"/>
  <c r="H41" i="29" s="1"/>
  <c r="F41" i="29"/>
  <c r="I41" i="29" s="1"/>
  <c r="F24" i="29"/>
  <c r="I24" i="29" s="1"/>
  <c r="E24" i="29"/>
  <c r="H24" i="29" s="1"/>
  <c r="U33" i="27"/>
  <c r="U34" i="27"/>
  <c r="U32" i="27"/>
  <c r="K24" i="29" l="1"/>
  <c r="C15" i="18" s="1"/>
  <c r="U37" i="21"/>
  <c r="V32" i="21"/>
  <c r="W32" i="21"/>
  <c r="V33" i="21"/>
  <c r="W33" i="21"/>
  <c r="U33" i="21"/>
  <c r="X34" i="19"/>
  <c r="W33" i="19"/>
  <c r="X33" i="19"/>
  <c r="Y33" i="19"/>
  <c r="Y34" i="19"/>
  <c r="V34" i="19"/>
  <c r="L174" i="29" l="1"/>
  <c r="D59" i="18" s="1"/>
  <c r="V56" i="21"/>
  <c r="W62" i="21"/>
  <c r="U62" i="21"/>
  <c r="V62" i="21"/>
  <c r="V61" i="21"/>
  <c r="W61" i="21"/>
  <c r="U61" i="21"/>
  <c r="U56" i="21"/>
  <c r="W56" i="21"/>
  <c r="V55" i="21"/>
  <c r="W55" i="21"/>
  <c r="U55" i="21"/>
  <c r="V43" i="21"/>
  <c r="W43" i="21"/>
  <c r="U43" i="21"/>
  <c r="U38" i="21"/>
  <c r="C8" i="21" s="1"/>
  <c r="V38" i="21"/>
  <c r="W38" i="21"/>
  <c r="V37" i="21"/>
  <c r="W37" i="21"/>
  <c r="U31" i="21"/>
  <c r="V31" i="21"/>
  <c r="W31" i="21"/>
  <c r="U32" i="21"/>
  <c r="V30" i="21"/>
  <c r="W30" i="21"/>
  <c r="U30" i="21"/>
  <c r="C6" i="21" l="1"/>
  <c r="H8" i="21"/>
  <c r="E8" i="21"/>
  <c r="E6" i="21"/>
  <c r="F8" i="21"/>
  <c r="G8" i="21"/>
  <c r="C7" i="21"/>
  <c r="G7" i="21"/>
  <c r="D7" i="21"/>
  <c r="D8" i="21"/>
  <c r="H7" i="21"/>
  <c r="E7" i="21"/>
  <c r="F7" i="21"/>
  <c r="F6" i="21"/>
  <c r="H6" i="21"/>
  <c r="D6" i="21"/>
  <c r="G6" i="21"/>
  <c r="E9" i="21" l="1"/>
  <c r="C9" i="21"/>
  <c r="F9" i="21"/>
  <c r="I16" i="18" s="1"/>
  <c r="D9" i="21"/>
  <c r="H9" i="21"/>
  <c r="I18" i="18" s="1"/>
  <c r="G9" i="21"/>
  <c r="I17" i="18" s="1"/>
  <c r="I12" i="18" l="1"/>
  <c r="E113" i="29" s="1"/>
  <c r="H113" i="29" s="1"/>
  <c r="U6" i="21"/>
  <c r="U8" i="21"/>
  <c r="T8" i="21"/>
  <c r="T6" i="21"/>
  <c r="V6" i="21"/>
  <c r="V8" i="21"/>
  <c r="U7" i="21"/>
  <c r="V7" i="21"/>
  <c r="I13" i="18"/>
  <c r="E16" i="29" s="1"/>
  <c r="H16" i="29" s="1"/>
  <c r="T7" i="21"/>
  <c r="I11" i="18"/>
  <c r="F121" i="29"/>
  <c r="I121" i="29" s="1"/>
  <c r="F52" i="29"/>
  <c r="I52" i="29" s="1"/>
  <c r="F74" i="29"/>
  <c r="I74" i="29" s="1"/>
  <c r="F12" i="29"/>
  <c r="I12" i="29" s="1"/>
  <c r="F138" i="29"/>
  <c r="I138" i="29" s="1"/>
  <c r="F160" i="29"/>
  <c r="I160" i="29" s="1"/>
  <c r="F113" i="29"/>
  <c r="I113" i="29" s="1"/>
  <c r="F83" i="29"/>
  <c r="I83" i="29" s="1"/>
  <c r="F79" i="29"/>
  <c r="I79" i="29" s="1"/>
  <c r="F153" i="29"/>
  <c r="I153" i="29" s="1"/>
  <c r="F141" i="29"/>
  <c r="I141" i="29" s="1"/>
  <c r="F145" i="29"/>
  <c r="I145" i="29" s="1"/>
  <c r="F16" i="29"/>
  <c r="I16" i="29" s="1"/>
  <c r="F20" i="29"/>
  <c r="I20" i="29" s="1"/>
  <c r="F96" i="29"/>
  <c r="I96" i="29" s="1"/>
  <c r="F135" i="29"/>
  <c r="I135" i="29" s="1"/>
  <c r="F108" i="29"/>
  <c r="I108" i="29" s="1"/>
  <c r="F91" i="29"/>
  <c r="I91" i="29" s="1"/>
  <c r="F163" i="29"/>
  <c r="I163" i="29" s="1"/>
  <c r="F86" i="29"/>
  <c r="I86" i="29" s="1"/>
  <c r="W74" i="19"/>
  <c r="V74" i="19"/>
  <c r="X74" i="19"/>
  <c r="Y74" i="19"/>
  <c r="W73" i="19"/>
  <c r="X73" i="19"/>
  <c r="Y73" i="19"/>
  <c r="V73" i="19"/>
  <c r="X68" i="19"/>
  <c r="V68" i="19"/>
  <c r="W68" i="19"/>
  <c r="Y68" i="19"/>
  <c r="W67" i="19"/>
  <c r="X67" i="19"/>
  <c r="Y67" i="19"/>
  <c r="V67" i="19"/>
  <c r="Y55" i="19"/>
  <c r="V53" i="19"/>
  <c r="X53" i="19"/>
  <c r="Y53" i="19"/>
  <c r="V54" i="19"/>
  <c r="W54" i="19"/>
  <c r="X54" i="19"/>
  <c r="Y54" i="19"/>
  <c r="V55" i="19"/>
  <c r="W55" i="19"/>
  <c r="X55" i="19"/>
  <c r="V56" i="19"/>
  <c r="W56" i="19"/>
  <c r="W52" i="19"/>
  <c r="X52" i="19"/>
  <c r="Y52" i="19"/>
  <c r="V52" i="19"/>
  <c r="X47" i="19"/>
  <c r="Y47" i="19"/>
  <c r="V47" i="19"/>
  <c r="W31" i="19"/>
  <c r="X31" i="19"/>
  <c r="Y31" i="19"/>
  <c r="W32" i="19"/>
  <c r="Y32" i="19"/>
  <c r="V32" i="19"/>
  <c r="V33" i="19"/>
  <c r="V24" i="19"/>
  <c r="E163" i="29" l="1"/>
  <c r="H163" i="29" s="1"/>
  <c r="E20" i="29"/>
  <c r="H20" i="29" s="1"/>
  <c r="E135" i="29"/>
  <c r="H135" i="29" s="1"/>
  <c r="E96" i="29"/>
  <c r="H96" i="29" s="1"/>
  <c r="F6" i="19"/>
  <c r="E86" i="29"/>
  <c r="H86" i="29" s="1"/>
  <c r="E108" i="29"/>
  <c r="H108" i="29" s="1"/>
  <c r="E91" i="29"/>
  <c r="H91" i="29" s="1"/>
  <c r="E83" i="29"/>
  <c r="H83" i="29" s="1"/>
  <c r="E145" i="29"/>
  <c r="H145" i="29" s="1"/>
  <c r="E121" i="29"/>
  <c r="H121" i="29" s="1"/>
  <c r="E153" i="29"/>
  <c r="H153" i="29" s="1"/>
  <c r="E138" i="29"/>
  <c r="H138" i="29" s="1"/>
  <c r="E79" i="29"/>
  <c r="H79" i="29" s="1"/>
  <c r="E52" i="29"/>
  <c r="H52" i="29" s="1"/>
  <c r="E160" i="29"/>
  <c r="H160" i="29" s="1"/>
  <c r="E141" i="29"/>
  <c r="H141" i="29" s="1"/>
  <c r="E74" i="29"/>
  <c r="H74" i="29" s="1"/>
  <c r="E12" i="29"/>
  <c r="H12" i="29" s="1"/>
  <c r="F9" i="19"/>
  <c r="J9" i="19"/>
  <c r="E9" i="19"/>
  <c r="I9" i="19"/>
  <c r="E7" i="19"/>
  <c r="I7" i="19"/>
  <c r="I6" i="19"/>
  <c r="E6" i="19"/>
  <c r="H6" i="19"/>
  <c r="D6" i="19"/>
  <c r="F7" i="19"/>
  <c r="J7" i="19"/>
  <c r="H9" i="19"/>
  <c r="D9" i="19"/>
  <c r="H7" i="19"/>
  <c r="D7" i="19"/>
  <c r="F8" i="19"/>
  <c r="J8" i="19"/>
  <c r="G8" i="19"/>
  <c r="C8" i="19"/>
  <c r="E8" i="19"/>
  <c r="I8" i="19"/>
  <c r="G7" i="19"/>
  <c r="C7" i="19"/>
  <c r="G6" i="19"/>
  <c r="C6" i="19"/>
  <c r="J6" i="19"/>
  <c r="G9" i="19"/>
  <c r="C9" i="19"/>
  <c r="A1" i="31" a="1"/>
  <c r="A1" i="31" s="1"/>
  <c r="C11" i="19" l="1"/>
  <c r="C10" i="19"/>
  <c r="E11" i="19"/>
  <c r="E10" i="19"/>
  <c r="J11" i="19"/>
  <c r="J10" i="19"/>
  <c r="D11" i="19"/>
  <c r="D10" i="19"/>
  <c r="I10" i="19"/>
  <c r="I11" i="19"/>
  <c r="F11" i="19"/>
  <c r="F10" i="19"/>
  <c r="G11" i="19"/>
  <c r="G10" i="19"/>
  <c r="H10" i="19"/>
  <c r="H11" i="19"/>
  <c r="D12" i="19" l="1"/>
  <c r="H12" i="18" s="1"/>
  <c r="G12" i="19"/>
  <c r="C12" i="19"/>
  <c r="J12" i="19"/>
  <c r="H19" i="18" s="1"/>
  <c r="W8" i="19"/>
  <c r="Y6" i="19"/>
  <c r="F12" i="19"/>
  <c r="X7" i="19"/>
  <c r="E12" i="19"/>
  <c r="H13" i="18" s="1"/>
  <c r="H12" i="19"/>
  <c r="H17" i="18" s="1"/>
  <c r="I12" i="19"/>
  <c r="H18" i="18" s="1"/>
  <c r="F95" i="29" s="1"/>
  <c r="I95" i="29" s="1"/>
  <c r="V6" i="19"/>
  <c r="V7" i="19"/>
  <c r="V8" i="19"/>
  <c r="Y7" i="19"/>
  <c r="W6" i="19"/>
  <c r="X8" i="19"/>
  <c r="Y8" i="19"/>
  <c r="X6" i="19"/>
  <c r="W7" i="19"/>
  <c r="U23" i="27"/>
  <c r="U24" i="27"/>
  <c r="U25" i="27"/>
  <c r="U26" i="27"/>
  <c r="U35" i="27"/>
  <c r="U36" i="27"/>
  <c r="U40" i="27"/>
  <c r="U41" i="27"/>
  <c r="U42" i="27"/>
  <c r="U43" i="27"/>
  <c r="U46" i="27"/>
  <c r="D7" i="27" s="1"/>
  <c r="U48" i="27"/>
  <c r="U49" i="27"/>
  <c r="U50" i="27"/>
  <c r="U51" i="27"/>
  <c r="U52" i="27"/>
  <c r="U53" i="27"/>
  <c r="U54" i="27"/>
  <c r="U55" i="27"/>
  <c r="U56" i="27"/>
  <c r="V24" i="21"/>
  <c r="V25" i="21"/>
  <c r="V26" i="21"/>
  <c r="V34" i="21"/>
  <c r="V35" i="21"/>
  <c r="V39" i="21"/>
  <c r="V40" i="21"/>
  <c r="V41" i="21"/>
  <c r="V42" i="21"/>
  <c r="V45" i="21"/>
  <c r="V46" i="21"/>
  <c r="V47" i="21"/>
  <c r="V48" i="21"/>
  <c r="V50" i="21"/>
  <c r="V51" i="21"/>
  <c r="V52" i="21"/>
  <c r="V53" i="21"/>
  <c r="V54" i="21"/>
  <c r="V57" i="21"/>
  <c r="V58" i="21"/>
  <c r="V59" i="21"/>
  <c r="V60" i="21"/>
  <c r="V63" i="21"/>
  <c r="V64" i="21"/>
  <c r="V65" i="21"/>
  <c r="V66" i="21"/>
  <c r="U23" i="21"/>
  <c r="U24" i="21"/>
  <c r="U25" i="21"/>
  <c r="U26" i="21"/>
  <c r="U34" i="21"/>
  <c r="U35" i="21"/>
  <c r="U39" i="21"/>
  <c r="U40" i="21"/>
  <c r="U41" i="21"/>
  <c r="U42" i="21"/>
  <c r="U45" i="21"/>
  <c r="U46" i="21"/>
  <c r="U47" i="21"/>
  <c r="U48" i="21"/>
  <c r="U50" i="21"/>
  <c r="U51" i="21"/>
  <c r="U52" i="21"/>
  <c r="U53" i="21"/>
  <c r="U54" i="21"/>
  <c r="U57" i="21"/>
  <c r="U58" i="21"/>
  <c r="U59" i="21"/>
  <c r="U60" i="21"/>
  <c r="U63" i="21"/>
  <c r="U64" i="21"/>
  <c r="U65" i="21"/>
  <c r="U66" i="21"/>
  <c r="A1" i="30" a="1"/>
  <c r="A1" i="30" s="1"/>
  <c r="W48" i="19"/>
  <c r="W49" i="19"/>
  <c r="W50" i="19"/>
  <c r="W51" i="19"/>
  <c r="W57" i="19"/>
  <c r="W69" i="19"/>
  <c r="W70" i="19"/>
  <c r="V35" i="19"/>
  <c r="V48" i="19"/>
  <c r="V49" i="19"/>
  <c r="V50" i="19"/>
  <c r="V51" i="19"/>
  <c r="V57" i="19"/>
  <c r="W24" i="19"/>
  <c r="W25" i="19"/>
  <c r="W26" i="19"/>
  <c r="W35" i="19"/>
  <c r="W71" i="19"/>
  <c r="W72" i="19"/>
  <c r="V25" i="19"/>
  <c r="V26" i="19"/>
  <c r="V69" i="19"/>
  <c r="V70" i="19"/>
  <c r="V71" i="19"/>
  <c r="V72" i="19"/>
  <c r="D6" i="27" l="1"/>
  <c r="H14" i="18"/>
  <c r="H11" i="18"/>
  <c r="F23" i="29"/>
  <c r="I23" i="29" s="1"/>
  <c r="F112" i="29"/>
  <c r="I112" i="29" s="1"/>
  <c r="F90" i="29"/>
  <c r="I90" i="29" s="1"/>
  <c r="F19" i="29"/>
  <c r="I19" i="29" s="1"/>
  <c r="F155" i="29"/>
  <c r="I155" i="29" s="1"/>
  <c r="F78" i="29"/>
  <c r="I78" i="29" s="1"/>
  <c r="F134" i="29"/>
  <c r="I134" i="29" s="1"/>
  <c r="F98" i="29"/>
  <c r="I98" i="29" s="1"/>
  <c r="F116" i="29"/>
  <c r="I116" i="29" s="1"/>
  <c r="F103" i="29"/>
  <c r="I103" i="29" s="1"/>
  <c r="F15" i="29"/>
  <c r="I15" i="29" s="1"/>
  <c r="F144" i="29"/>
  <c r="I144" i="29" s="1"/>
  <c r="F124" i="29"/>
  <c r="I124" i="29" s="1"/>
  <c r="F82" i="29"/>
  <c r="I82" i="29" s="1"/>
  <c r="F159" i="29"/>
  <c r="I159" i="29" s="1"/>
  <c r="F63" i="29"/>
  <c r="I63" i="29" s="1"/>
  <c r="F140" i="29"/>
  <c r="I140" i="29" s="1"/>
  <c r="F59" i="29"/>
  <c r="I59" i="29" s="1"/>
  <c r="E95" i="29"/>
  <c r="H95" i="29" s="1"/>
  <c r="E23" i="29"/>
  <c r="H23" i="29" s="1"/>
  <c r="E155" i="29"/>
  <c r="H155" i="29" s="1"/>
  <c r="E78" i="29"/>
  <c r="H78" i="29" s="1"/>
  <c r="E90" i="29"/>
  <c r="H90" i="29" s="1"/>
  <c r="E112" i="29"/>
  <c r="H112" i="29" s="1"/>
  <c r="E19" i="29"/>
  <c r="H19" i="29" s="1"/>
  <c r="L40" i="29"/>
  <c r="D19" i="18" s="1"/>
  <c r="L36" i="29"/>
  <c r="D18" i="18" s="1"/>
  <c r="L43" i="29"/>
  <c r="D20" i="18" s="1"/>
  <c r="K40" i="29"/>
  <c r="C19" i="18" s="1"/>
  <c r="K36" i="29"/>
  <c r="C18" i="18" s="1"/>
  <c r="K43" i="29"/>
  <c r="C20" i="18" s="1"/>
  <c r="K47" i="29"/>
  <c r="C21" i="18" s="1"/>
  <c r="L24" i="29"/>
  <c r="D15" i="18" s="1"/>
  <c r="L47" i="29"/>
  <c r="D21" i="18" s="1"/>
  <c r="K28" i="29"/>
  <c r="C16" i="18" s="1"/>
  <c r="K32" i="29"/>
  <c r="C17" i="18" s="1"/>
  <c r="L28" i="29"/>
  <c r="D16" i="18" s="1"/>
  <c r="L32" i="29"/>
  <c r="D17" i="18" s="1"/>
  <c r="D9" i="27" l="1"/>
  <c r="C10" i="27" s="1"/>
  <c r="E134" i="29"/>
  <c r="H134" i="29" s="1"/>
  <c r="E98" i="29"/>
  <c r="H98" i="29" s="1"/>
  <c r="F9" i="25"/>
  <c r="K17" i="18" s="1"/>
  <c r="D9" i="25"/>
  <c r="N16" i="18" l="1"/>
  <c r="N11" i="18"/>
  <c r="P8" i="27"/>
  <c r="P6" i="27"/>
  <c r="P7" i="27"/>
  <c r="S7" i="25"/>
  <c r="S8" i="25"/>
  <c r="S6" i="25"/>
  <c r="K12" i="18"/>
  <c r="H16" i="18"/>
  <c r="F131" i="29" s="1"/>
  <c r="I131" i="29" s="1"/>
  <c r="F132" i="29"/>
  <c r="I132" i="29" s="1"/>
  <c r="E130" i="29"/>
  <c r="H130" i="29" s="1"/>
  <c r="E133" i="29"/>
  <c r="H133" i="29" s="1"/>
  <c r="E136" i="29"/>
  <c r="E139" i="29"/>
  <c r="H139" i="29" s="1"/>
  <c r="E132" i="29"/>
  <c r="H132" i="29" s="1"/>
  <c r="E76" i="29"/>
  <c r="H76" i="29" s="1"/>
  <c r="E88" i="29"/>
  <c r="H88" i="29" s="1"/>
  <c r="E101" i="29"/>
  <c r="H101" i="29" s="1"/>
  <c r="E93" i="29"/>
  <c r="H93" i="29" s="1"/>
  <c r="E110" i="29"/>
  <c r="H110" i="29" s="1"/>
  <c r="E80" i="29"/>
  <c r="H80" i="29" s="1"/>
  <c r="E84" i="29"/>
  <c r="H84" i="29" s="1"/>
  <c r="E119" i="29"/>
  <c r="H119" i="29" s="1"/>
  <c r="E126" i="29"/>
  <c r="H126" i="29" s="1"/>
  <c r="E65" i="29"/>
  <c r="H65" i="29" s="1"/>
  <c r="E123" i="29"/>
  <c r="H123" i="29" s="1"/>
  <c r="E54" i="29"/>
  <c r="H54" i="29" s="1"/>
  <c r="E56" i="29"/>
  <c r="H56" i="29" s="1"/>
  <c r="E71" i="29"/>
  <c r="H71" i="29" s="1"/>
  <c r="F64" i="29"/>
  <c r="I64" i="29" s="1"/>
  <c r="F60" i="29"/>
  <c r="I60" i="29" s="1"/>
  <c r="F55" i="29"/>
  <c r="I55" i="29" s="1"/>
  <c r="F149" i="29"/>
  <c r="I149" i="29" s="1"/>
  <c r="F129" i="29"/>
  <c r="I129" i="29" s="1"/>
  <c r="F156" i="29"/>
  <c r="I156" i="29" s="1"/>
  <c r="F125" i="29"/>
  <c r="I125" i="29" s="1"/>
  <c r="F69" i="29"/>
  <c r="I69" i="29" s="1"/>
  <c r="F104" i="29"/>
  <c r="I104" i="29" s="1"/>
  <c r="F177" i="29"/>
  <c r="I177" i="29" s="1"/>
  <c r="F99" i="29"/>
  <c r="I99" i="29" s="1"/>
  <c r="F117" i="29"/>
  <c r="I117" i="29" s="1"/>
  <c r="F175" i="29"/>
  <c r="I175" i="29" s="1"/>
  <c r="F67" i="29"/>
  <c r="F84" i="29"/>
  <c r="F80" i="29"/>
  <c r="I80" i="29" s="1"/>
  <c r="L79" i="29" s="1"/>
  <c r="D29" i="18" s="1"/>
  <c r="E60" i="29"/>
  <c r="H60" i="29" s="1"/>
  <c r="E104" i="29"/>
  <c r="H104" i="29" s="1"/>
  <c r="E64" i="29"/>
  <c r="H64" i="29" s="1"/>
  <c r="E55" i="29"/>
  <c r="H55" i="29" s="1"/>
  <c r="E69" i="29"/>
  <c r="H69" i="29" s="1"/>
  <c r="E149" i="29"/>
  <c r="H149" i="29" s="1"/>
  <c r="E67" i="29"/>
  <c r="H67" i="29" s="1"/>
  <c r="E99" i="29"/>
  <c r="H99" i="29" s="1"/>
  <c r="E117" i="29"/>
  <c r="H117" i="29" s="1"/>
  <c r="E175" i="29"/>
  <c r="H175" i="29" s="1"/>
  <c r="E177" i="29"/>
  <c r="H177" i="29" s="1"/>
  <c r="E129" i="29"/>
  <c r="H129" i="29" s="1"/>
  <c r="E156" i="29"/>
  <c r="H156" i="29" s="1"/>
  <c r="E125" i="29"/>
  <c r="H125" i="29" s="1"/>
  <c r="A1" i="27" a="1"/>
  <c r="A1" i="27" s="1"/>
  <c r="A1" i="26" a="1"/>
  <c r="A1" i="26" s="1"/>
  <c r="A1" i="25" a="1"/>
  <c r="A1" i="25" s="1"/>
  <c r="A1" i="23" a="1"/>
  <c r="A1" i="23" s="1"/>
  <c r="A1" i="21" a="1"/>
  <c r="A1" i="21" s="1"/>
  <c r="A1" i="19" a="1"/>
  <c r="A1" i="19" s="1"/>
  <c r="F120" i="29" l="1"/>
  <c r="I120" i="29" s="1"/>
  <c r="F107" i="29"/>
  <c r="I107" i="29" s="1"/>
  <c r="F152" i="29"/>
  <c r="I152" i="29" s="1"/>
  <c r="F68" i="29"/>
  <c r="I68" i="29" s="1"/>
  <c r="F128" i="29"/>
  <c r="I128" i="29" s="1"/>
  <c r="F73" i="29"/>
  <c r="I73" i="29" s="1"/>
  <c r="F85" i="29"/>
  <c r="I85" i="29" s="1"/>
  <c r="F66" i="29"/>
  <c r="I66" i="29" s="1"/>
  <c r="K132" i="29"/>
  <c r="C42" i="18" s="1"/>
  <c r="E144" i="29"/>
  <c r="H144" i="29" s="1"/>
  <c r="E140" i="29"/>
  <c r="E131" i="29"/>
  <c r="H131" i="29" s="1"/>
  <c r="K129" i="29" s="1"/>
  <c r="C41" i="18" s="1"/>
  <c r="E142" i="29"/>
  <c r="H142" i="29" s="1"/>
  <c r="E146" i="29"/>
  <c r="H146" i="29" s="1"/>
  <c r="K145" i="29" s="1"/>
  <c r="C46" i="18" s="1"/>
  <c r="F133" i="29"/>
  <c r="I133" i="29" s="1"/>
  <c r="L132" i="29" s="1"/>
  <c r="D42" i="18" s="1"/>
  <c r="I84" i="29"/>
  <c r="I67" i="29"/>
  <c r="H136" i="29"/>
  <c r="K135" i="29" s="1"/>
  <c r="C43" i="18" s="1"/>
  <c r="E120" i="29"/>
  <c r="H120" i="29" s="1"/>
  <c r="E68" i="29"/>
  <c r="H68" i="29" s="1"/>
  <c r="K67" i="29" s="1"/>
  <c r="C26" i="18" s="1"/>
  <c r="E152" i="29"/>
  <c r="H152" i="29" s="1"/>
  <c r="E73" i="29"/>
  <c r="H73" i="29" s="1"/>
  <c r="E128" i="29"/>
  <c r="H128" i="29" s="1"/>
  <c r="K125" i="29" s="1"/>
  <c r="C40" i="18" s="1"/>
  <c r="E107" i="29"/>
  <c r="H107" i="29" s="1"/>
  <c r="E66" i="29"/>
  <c r="E85" i="29"/>
  <c r="F146" i="29"/>
  <c r="I146" i="29" s="1"/>
  <c r="L145" i="29" s="1"/>
  <c r="D46" i="18" s="1"/>
  <c r="F92" i="29"/>
  <c r="I92" i="29" s="1"/>
  <c r="F21" i="29"/>
  <c r="I21" i="29" s="1"/>
  <c r="L20" i="29" s="1"/>
  <c r="D14" i="18" s="1"/>
  <c r="F100" i="29"/>
  <c r="I100" i="29" s="1"/>
  <c r="F87" i="29"/>
  <c r="I87" i="29" s="1"/>
  <c r="F109" i="29"/>
  <c r="I109" i="29" s="1"/>
  <c r="F122" i="29"/>
  <c r="I122" i="29" s="1"/>
  <c r="F97" i="29"/>
  <c r="F13" i="29"/>
  <c r="I13" i="29" s="1"/>
  <c r="L12" i="29" s="1"/>
  <c r="D12" i="18" s="1"/>
  <c r="F142" i="29"/>
  <c r="I142" i="29" s="1"/>
  <c r="L141" i="29" s="1"/>
  <c r="D45" i="18" s="1"/>
  <c r="F148" i="29"/>
  <c r="I148" i="29" s="1"/>
  <c r="F75" i="29"/>
  <c r="I75" i="29" s="1"/>
  <c r="F114" i="29"/>
  <c r="I114" i="29" s="1"/>
  <c r="L113" i="29" s="1"/>
  <c r="D37" i="18" s="1"/>
  <c r="F105" i="29"/>
  <c r="E100" i="29"/>
  <c r="H100" i="29" s="1"/>
  <c r="E87" i="29"/>
  <c r="E92" i="29"/>
  <c r="H92" i="29" s="1"/>
  <c r="K91" i="29" s="1"/>
  <c r="C32" i="18" s="1"/>
  <c r="E114" i="29"/>
  <c r="H114" i="29" s="1"/>
  <c r="E105" i="29"/>
  <c r="H105" i="29" s="1"/>
  <c r="E148" i="29"/>
  <c r="H148" i="29" s="1"/>
  <c r="K148" i="29" s="1"/>
  <c r="C48" i="18" s="1"/>
  <c r="E122" i="29"/>
  <c r="H122" i="29" s="1"/>
  <c r="E75" i="29"/>
  <c r="E13" i="29"/>
  <c r="H13" i="29" s="1"/>
  <c r="E109" i="29"/>
  <c r="H109" i="29" s="1"/>
  <c r="K108" i="29" s="1"/>
  <c r="C36" i="18" s="1"/>
  <c r="E21" i="29"/>
  <c r="H21" i="29" s="1"/>
  <c r="K20" i="29" s="1"/>
  <c r="C14" i="18" s="1"/>
  <c r="E97" i="29"/>
  <c r="E15" i="29"/>
  <c r="H15" i="29" s="1"/>
  <c r="E63" i="29"/>
  <c r="H63" i="29" s="1"/>
  <c r="E124" i="29"/>
  <c r="H124" i="29" s="1"/>
  <c r="E116" i="29"/>
  <c r="H116" i="29" s="1"/>
  <c r="E82" i="29"/>
  <c r="H82" i="29" s="1"/>
  <c r="K79" i="29" s="1"/>
  <c r="C29" i="18" s="1"/>
  <c r="E59" i="29"/>
  <c r="H59" i="29" s="1"/>
  <c r="E103" i="29"/>
  <c r="H103" i="29" s="1"/>
  <c r="E159" i="29"/>
  <c r="H159" i="29" s="1"/>
  <c r="F154" i="29"/>
  <c r="F157" i="29"/>
  <c r="I157" i="29" s="1"/>
  <c r="F172" i="29"/>
  <c r="F168" i="29"/>
  <c r="I168" i="29" s="1"/>
  <c r="F70" i="29"/>
  <c r="I70" i="29" s="1"/>
  <c r="F164" i="29"/>
  <c r="I164" i="29" s="1"/>
  <c r="F17" i="29"/>
  <c r="F173" i="29"/>
  <c r="I173" i="29" s="1"/>
  <c r="L173" i="29" s="1"/>
  <c r="D58" i="18" s="1"/>
  <c r="F178" i="29"/>
  <c r="F150" i="29"/>
  <c r="I150" i="29" s="1"/>
  <c r="F61" i="29"/>
  <c r="F53" i="29"/>
  <c r="I53" i="29" s="1"/>
  <c r="F118" i="29"/>
  <c r="I118" i="29" s="1"/>
  <c r="F161" i="29"/>
  <c r="I161" i="29" s="1"/>
  <c r="F176" i="29"/>
  <c r="F57" i="29"/>
  <c r="I57" i="29" s="1"/>
  <c r="F166" i="29"/>
  <c r="I166" i="29" s="1"/>
  <c r="F147" i="29"/>
  <c r="I147" i="29" s="1"/>
  <c r="L147" i="29" s="1"/>
  <c r="D47" i="18" s="1"/>
  <c r="F71" i="29"/>
  <c r="I71" i="29" s="1"/>
  <c r="F54" i="29"/>
  <c r="I54" i="29" s="1"/>
  <c r="F56" i="29"/>
  <c r="I56" i="29" s="1"/>
  <c r="E169" i="29"/>
  <c r="H169" i="29" s="1"/>
  <c r="E167" i="29"/>
  <c r="H167" i="29" s="1"/>
  <c r="E158" i="29"/>
  <c r="H158" i="29" s="1"/>
  <c r="E165" i="29"/>
  <c r="H165" i="29" s="1"/>
  <c r="E151" i="29"/>
  <c r="H151" i="29" s="1"/>
  <c r="E162" i="29"/>
  <c r="H162" i="29" s="1"/>
  <c r="E147" i="29"/>
  <c r="H147" i="29" s="1"/>
  <c r="K147" i="29" s="1"/>
  <c r="C47" i="18" s="1"/>
  <c r="E178" i="29"/>
  <c r="E154" i="29"/>
  <c r="E157" i="29"/>
  <c r="H157" i="29" s="1"/>
  <c r="E164" i="29"/>
  <c r="H164" i="29" s="1"/>
  <c r="E173" i="29"/>
  <c r="E70" i="29"/>
  <c r="H70" i="29" s="1"/>
  <c r="E61" i="29"/>
  <c r="H61" i="29" s="1"/>
  <c r="E161" i="29"/>
  <c r="H161" i="29" s="1"/>
  <c r="E172" i="29"/>
  <c r="E118" i="29"/>
  <c r="H118" i="29" s="1"/>
  <c r="E17" i="29"/>
  <c r="E166" i="29"/>
  <c r="H166" i="29" s="1"/>
  <c r="E53" i="29"/>
  <c r="E176" i="29"/>
  <c r="H176" i="29" s="1"/>
  <c r="K175" i="29" s="1"/>
  <c r="C60" i="18" s="1"/>
  <c r="E168" i="29"/>
  <c r="H168" i="29" s="1"/>
  <c r="E150" i="29"/>
  <c r="H150" i="29" s="1"/>
  <c r="E57" i="29"/>
  <c r="H57" i="29" s="1"/>
  <c r="F139" i="29"/>
  <c r="F76" i="29"/>
  <c r="I76" i="29" s="1"/>
  <c r="F101" i="29"/>
  <c r="I101" i="29" s="1"/>
  <c r="F88" i="29"/>
  <c r="I88" i="29" s="1"/>
  <c r="F136" i="29"/>
  <c r="I136" i="29" s="1"/>
  <c r="L135" i="29" s="1"/>
  <c r="D43" i="18" s="1"/>
  <c r="F110" i="29"/>
  <c r="I110" i="29" s="1"/>
  <c r="F93" i="29"/>
  <c r="I93" i="29" s="1"/>
  <c r="F130" i="29"/>
  <c r="F123" i="29"/>
  <c r="I123" i="29" s="1"/>
  <c r="F126" i="29"/>
  <c r="I126" i="29" s="1"/>
  <c r="F65" i="29"/>
  <c r="F119" i="29"/>
  <c r="I119" i="29" s="1"/>
  <c r="F165" i="29"/>
  <c r="I165" i="29" s="1"/>
  <c r="F158" i="29"/>
  <c r="I158" i="29" s="1"/>
  <c r="F151" i="29"/>
  <c r="I151" i="29" s="1"/>
  <c r="F167" i="29"/>
  <c r="I167" i="29" s="1"/>
  <c r="F169" i="29"/>
  <c r="I169" i="29" s="1"/>
  <c r="F162" i="29"/>
  <c r="I162" i="29" s="1"/>
  <c r="A1" i="18" a="1"/>
  <c r="A1" i="18" s="1"/>
  <c r="K12" i="29" l="1"/>
  <c r="C12" i="18" s="1"/>
  <c r="L83" i="29"/>
  <c r="D30" i="18" s="1"/>
  <c r="L125" i="29"/>
  <c r="D40" i="18" s="1"/>
  <c r="L67" i="29"/>
  <c r="D26" i="18" s="1"/>
  <c r="I61" i="29"/>
  <c r="L60" i="29" s="1"/>
  <c r="D24" i="18" s="1"/>
  <c r="I172" i="29"/>
  <c r="L172" i="29" s="1"/>
  <c r="D57" i="18" s="1"/>
  <c r="I65" i="29"/>
  <c r="L64" i="29" s="1"/>
  <c r="D25" i="18" s="1"/>
  <c r="I154" i="29"/>
  <c r="L153" i="29" s="1"/>
  <c r="D50" i="18" s="1"/>
  <c r="I97" i="29"/>
  <c r="L96" i="29" s="1"/>
  <c r="D33" i="18" s="1"/>
  <c r="I176" i="29"/>
  <c r="L175" i="29" s="1"/>
  <c r="D60" i="18" s="1"/>
  <c r="I17" i="29"/>
  <c r="L16" i="29" s="1"/>
  <c r="D13" i="18" s="1"/>
  <c r="I105" i="29"/>
  <c r="L104" i="29" s="1"/>
  <c r="D35" i="18" s="1"/>
  <c r="I139" i="29"/>
  <c r="L138" i="29" s="1"/>
  <c r="D44" i="18" s="1"/>
  <c r="I178" i="29"/>
  <c r="L177" i="29" s="1"/>
  <c r="D61" i="18" s="1"/>
  <c r="I130" i="29"/>
  <c r="L129" i="29" s="1"/>
  <c r="D41" i="18" s="1"/>
  <c r="L148" i="29"/>
  <c r="D48" i="18" s="1"/>
  <c r="H140" i="29"/>
  <c r="K138" i="29" s="1"/>
  <c r="C44" i="18" s="1"/>
  <c r="H178" i="29"/>
  <c r="K177" i="29" s="1"/>
  <c r="C61" i="18" s="1"/>
  <c r="H17" i="29"/>
  <c r="K16" i="29" s="1"/>
  <c r="C13" i="18" s="1"/>
  <c r="H53" i="29"/>
  <c r="K52" i="29" s="1"/>
  <c r="C22" i="18" s="1"/>
  <c r="H173" i="29"/>
  <c r="K173" i="29" s="1"/>
  <c r="C58" i="18" s="1"/>
  <c r="H87" i="29"/>
  <c r="K86" i="29" s="1"/>
  <c r="C31" i="18" s="1"/>
  <c r="H85" i="29"/>
  <c r="K83" i="29" s="1"/>
  <c r="C30" i="18" s="1"/>
  <c r="H154" i="29"/>
  <c r="K153" i="29" s="1"/>
  <c r="C50" i="18" s="1"/>
  <c r="H172" i="29"/>
  <c r="K172" i="29" s="1"/>
  <c r="C57" i="18" s="1"/>
  <c r="H97" i="29"/>
  <c r="K96" i="29" s="1"/>
  <c r="C33" i="18" s="1"/>
  <c r="H75" i="29"/>
  <c r="K74" i="29" s="1"/>
  <c r="C28" i="18" s="1"/>
  <c r="H66" i="29"/>
  <c r="K64" i="29" s="1"/>
  <c r="C25" i="18" s="1"/>
  <c r="K163" i="29"/>
  <c r="C53" i="18" s="1"/>
  <c r="L117" i="29"/>
  <c r="D38" i="18" s="1"/>
  <c r="L99" i="29"/>
  <c r="D34" i="18" s="1"/>
  <c r="L168" i="29"/>
  <c r="D55" i="18" s="1"/>
  <c r="K60" i="29"/>
  <c r="C24" i="18" s="1"/>
  <c r="K168" i="29"/>
  <c r="C55" i="18" s="1"/>
  <c r="L55" i="29"/>
  <c r="D23" i="18" s="1"/>
  <c r="L108" i="29"/>
  <c r="D36" i="18" s="1"/>
  <c r="K99" i="29"/>
  <c r="C34" i="18" s="1"/>
  <c r="L160" i="29"/>
  <c r="D52" i="18" s="1"/>
  <c r="L91" i="29"/>
  <c r="D32" i="18" s="1"/>
  <c r="L69" i="29"/>
  <c r="D27" i="18" s="1"/>
  <c r="L149" i="29"/>
  <c r="D49" i="18" s="1"/>
  <c r="K160" i="29"/>
  <c r="C52" i="18" s="1"/>
  <c r="K55" i="29"/>
  <c r="C23" i="18" s="1"/>
  <c r="K117" i="29"/>
  <c r="C38" i="18" s="1"/>
  <c r="K156" i="29"/>
  <c r="C51" i="18" s="1"/>
  <c r="L156" i="29"/>
  <c r="D51" i="18" s="1"/>
  <c r="K69" i="29"/>
  <c r="C27" i="18" s="1"/>
  <c r="K104" i="29"/>
  <c r="C35" i="18" s="1"/>
  <c r="K149" i="29"/>
  <c r="C49" i="18" s="1"/>
  <c r="L74" i="29"/>
  <c r="D28" i="18" s="1"/>
  <c r="K141" i="29"/>
  <c r="C45" i="18" s="1"/>
  <c r="K113" i="29"/>
  <c r="C37" i="18" s="1"/>
  <c r="L86" i="29"/>
  <c r="D31" i="18" s="1"/>
  <c r="K121" i="29"/>
  <c r="C39" i="18" s="1"/>
  <c r="L52" i="29"/>
  <c r="D22" i="18" s="1"/>
  <c r="L121" i="29"/>
  <c r="D39" i="18" s="1"/>
  <c r="L163" i="29"/>
  <c r="D53" i="18" s="1"/>
  <c r="L166" i="29"/>
  <c r="D54" i="18" s="1"/>
  <c r="K166" i="29"/>
  <c r="C54" i="18" s="1"/>
  <c r="J29" i="18" l="1"/>
  <c r="L29" i="18" s="1"/>
  <c r="J32" i="18"/>
  <c r="L32" i="18" s="1"/>
  <c r="J31" i="18"/>
  <c r="L31" i="18" s="1"/>
  <c r="J30" i="18"/>
  <c r="L30" i="18" s="1"/>
  <c r="J27" i="18"/>
  <c r="L27" i="18" s="1"/>
  <c r="J28" i="18"/>
  <c r="L28" i="18" s="1"/>
  <c r="L43" i="1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<sst xmlns="http://schemas.openxmlformats.org/spreadsheetml/2006/main" count="1795" uniqueCount="378">
  <si>
    <t xml:space="preserve">Sira Consulting heeft in opdracht van BIJ12 de standaardkostprijzen berekend voor Natuurmonitoring. Dit bestand bevat het rekenmodel dat inzichtelijk maakt hoe de standaardkostprijzen zijn bepaald voor de voorgeschreven karteringen en daarmee ook voor de beheertypen. Op de verschillende tabbladen kunt u de berekeningen en de gegevens die hiervoor zijn gebruikt volgen tot op het niveau van de gebruikte informatiebronnen.Voor een uitgebreide omschrijving van de SKP Natuurmonitoring SNL verwijzen wij u naar de bijbehorende Handleiding SKP Natuurmonitoring SNL V1.0  De tabbladen zijn als volgt ingedeeld: </t>
  </si>
  <si>
    <t>Naam tabblad</t>
  </si>
  <si>
    <t>Omschrijving</t>
  </si>
  <si>
    <t>1.</t>
  </si>
  <si>
    <t>Samenvatting</t>
  </si>
  <si>
    <t xml:space="preserve">Tabblad 1. vat de uitkomsten van het onderzoek samen. De standaardkostprijzen per beheertype en per kartering zijn weergegeven in uren per hectare. Daarnaast bevat dit tabblad ook een 'voorbeeldberekening'. Hierin kunnen de kosten voor een gebied berekend worden met de nieuwe standaardkostprijzen. </t>
  </si>
  <si>
    <t>2.</t>
  </si>
  <si>
    <t>Kostprijs per beheertype</t>
  </si>
  <si>
    <t xml:space="preserve">Dit tabblad berekent de kostprijzen per beheertype. Per beheertype worden vaak meerdere karteringen voorgeschreven. De kostprijzen voor de verschillende karteringen worden opgehaald uit de tabbladen 5 t/m 10 en bij elkaaropgeteld om te komen tot de kostprijs van een beheertype.  </t>
  </si>
  <si>
    <t>3.</t>
  </si>
  <si>
    <t>Parameters kostprijsmodel</t>
  </si>
  <si>
    <t>Tabblad 3. geeft de parameters weer die gebruikt worden als input voor de berekeningen van de kostprijzen per kartering (tabblad 5 t/m 10)</t>
  </si>
  <si>
    <t>4.</t>
  </si>
  <si>
    <t>Beheertypen complexiteit</t>
  </si>
  <si>
    <t>Dit tabblad geeft de verdeling van de beheertypen op basis van complexiteit (bijv. toegankelijkheid pf soortenrijkdom) per kartering weer.</t>
  </si>
  <si>
    <t>5.</t>
  </si>
  <si>
    <t>Vegetatiekartering</t>
  </si>
  <si>
    <t xml:space="preserve">Tabblad 5 t/m 10 berekenen de kostprijzen per kartering. Deze kostprijzen dienen als input voor 'tabblad 2. Kostprijs per beheertype'. De tabbladen berekenen de SNL-kostprijzen en daarnaast een toevoeging op de kostprijzen wanneer activiteiten voor Natura 2000 gebieden uitgevoerd worden. </t>
  </si>
  <si>
    <t>6.</t>
  </si>
  <si>
    <t>Plantenkartering</t>
  </si>
  <si>
    <t>7.</t>
  </si>
  <si>
    <t>Broedvogelkartering</t>
  </si>
  <si>
    <t>8.</t>
  </si>
  <si>
    <t>Dagvlinders- en sprinkhanenkartering</t>
  </si>
  <si>
    <t>9.</t>
  </si>
  <si>
    <t>Libellenkartering</t>
  </si>
  <si>
    <t>10.</t>
  </si>
  <si>
    <t>Bosstructuurkartering</t>
  </si>
  <si>
    <t>SNL</t>
  </si>
  <si>
    <t>N2000/RL</t>
  </si>
  <si>
    <t xml:space="preserve">Dit tabblad geeft een samenvatting van de SKP Natuurmonitoring SNL. Tabel 1. bevat de standaardkostprijzen per beheertype, deze worden automatisch gegenereerd uit 'Tabblad 2. Kostprijs per beheertype'. Tabel 2. bevat de standaardkostprijzen per kartering. De berekeningen van deze prijzen is te vinden in tabbladen 5 t/m 10. Tabel 1 en 2 worden automatisch berekend uit de genoemde tabbladen en kunnen dus niet handmatig aangepast worden op dit tabblad. Tabel 3. laat via een voorbeeldberekening zien hoe de kostprijzen doorwerken in de kosten van een gebied. Het is hier mogelijk zelf een gebied in te vullen.  </t>
  </si>
  <si>
    <t>Tabel 1. Samenvatting kostprijzen 2023 voor beheerjaar 2024 per beheertype (totaal per jaar per ha)</t>
  </si>
  <si>
    <r>
      <t xml:space="preserve">Tabel 2. </t>
    </r>
    <r>
      <rPr>
        <sz val="7"/>
        <rFont val="Verdana"/>
        <family val="2"/>
        <scheme val="minor"/>
      </rPr>
      <t>Samenvatting kostprijzen per kartering</t>
    </r>
    <r>
      <rPr>
        <b/>
        <sz val="7"/>
        <rFont val="Verdana"/>
        <family val="2"/>
        <scheme val="minor"/>
      </rPr>
      <t xml:space="preserve"> </t>
    </r>
    <r>
      <rPr>
        <sz val="7"/>
        <rFont val="Verdana"/>
        <family val="2"/>
        <scheme val="minor"/>
      </rPr>
      <t>(per kartering per ha)</t>
    </r>
  </si>
  <si>
    <t>Beheertype</t>
  </si>
  <si>
    <t>Niveau</t>
  </si>
  <si>
    <t>Structuurelementen*</t>
  </si>
  <si>
    <t>Dagvlinders en sprinkhanen</t>
  </si>
  <si>
    <t>N01.01</t>
  </si>
  <si>
    <t>Zee en wad</t>
  </si>
  <si>
    <t>N01.02</t>
  </si>
  <si>
    <t>Grootschalig duin- en kwelderlandschap</t>
  </si>
  <si>
    <t>Nvt</t>
  </si>
  <si>
    <t>N01.03</t>
  </si>
  <si>
    <t>Rivier- en moeraslandschap</t>
  </si>
  <si>
    <t>N01.04</t>
  </si>
  <si>
    <t>Zand- en kalklandschap</t>
  </si>
  <si>
    <t>N02.01</t>
  </si>
  <si>
    <t>Rivier</t>
  </si>
  <si>
    <t>N03.01</t>
  </si>
  <si>
    <t>Beek en bron</t>
  </si>
  <si>
    <t>N04.01</t>
  </si>
  <si>
    <t>Kranswierwater</t>
  </si>
  <si>
    <t>N04.02</t>
  </si>
  <si>
    <t>Zoete plas</t>
  </si>
  <si>
    <t>N04.03</t>
  </si>
  <si>
    <t>Brak water</t>
  </si>
  <si>
    <t>N04.04</t>
  </si>
  <si>
    <t>Afgesloten zeearm</t>
  </si>
  <si>
    <t>N05.01</t>
  </si>
  <si>
    <t>Moeras</t>
  </si>
  <si>
    <r>
      <t xml:space="preserve">* De kolom 'Structuurelementen' is in de huidige situatie op </t>
    </r>
    <r>
      <rPr>
        <sz val="7"/>
        <color theme="1"/>
        <rFont val="Calibri"/>
        <family val="2"/>
      </rPr>
      <t>€</t>
    </r>
    <r>
      <rPr>
        <sz val="7"/>
        <color theme="1"/>
        <rFont val="Verdana"/>
        <family val="2"/>
      </rPr>
      <t xml:space="preserve"> 0,-  gezet. Mochten structuurelementen in de toekomst expliciet vergoed worden, dan kan dit ingevuld worden in tabel 4. op 'Tabblad 3. Parameters kostprijsmodel'. </t>
    </r>
  </si>
  <si>
    <t>N05.02</t>
  </si>
  <si>
    <t>Gemaaid rietland</t>
  </si>
  <si>
    <t>N05.03</t>
  </si>
  <si>
    <t>Veenmoeras</t>
  </si>
  <si>
    <t>N05.04</t>
  </si>
  <si>
    <t>Dynamisch moeras</t>
  </si>
  <si>
    <r>
      <t xml:space="preserve">Tabel 3. </t>
    </r>
    <r>
      <rPr>
        <sz val="7"/>
        <color theme="1"/>
        <rFont val="Verdana"/>
        <family val="2"/>
        <scheme val="minor"/>
      </rPr>
      <t>Voorbeeldberekening</t>
    </r>
  </si>
  <si>
    <t>N06.01</t>
  </si>
  <si>
    <t>Veenmosrietland en moerasheide</t>
  </si>
  <si>
    <t>Kostprijs SNL of N2000/RL?</t>
  </si>
  <si>
    <t>Prijs per Hectare</t>
  </si>
  <si>
    <t>Aantal Hectare</t>
  </si>
  <si>
    <r>
      <rPr>
        <b/>
        <sz val="7"/>
        <color theme="0"/>
        <rFont val="Calibri"/>
        <family val="2"/>
      </rPr>
      <t>€</t>
    </r>
    <r>
      <rPr>
        <b/>
        <sz val="7"/>
        <color theme="0"/>
        <rFont val="Verdana"/>
        <family val="2"/>
        <scheme val="minor"/>
      </rPr>
      <t xml:space="preserve"> per beheertype (jaarlijks)</t>
    </r>
  </si>
  <si>
    <t>N06.02</t>
  </si>
  <si>
    <t>Trilveen</t>
  </si>
  <si>
    <t>N06.03</t>
  </si>
  <si>
    <t>Hoogveen</t>
  </si>
  <si>
    <t>N06.04</t>
  </si>
  <si>
    <t>Vochtige heide</t>
  </si>
  <si>
    <t>N06.05</t>
  </si>
  <si>
    <t>Zwakgebufferd ven</t>
  </si>
  <si>
    <t>N06.06</t>
  </si>
  <si>
    <t>Zuur ven of Hoogveenven</t>
  </si>
  <si>
    <t>N07.01</t>
  </si>
  <si>
    <t>Droge heide</t>
  </si>
  <si>
    <t>N12.02</t>
  </si>
  <si>
    <t>N07.02</t>
  </si>
  <si>
    <t>Zandverstuiving</t>
  </si>
  <si>
    <t>N15.02</t>
  </si>
  <si>
    <t>N08.01</t>
  </si>
  <si>
    <t>Strand en embryonaal duin</t>
  </si>
  <si>
    <t>N08.02</t>
  </si>
  <si>
    <t>Open duin</t>
  </si>
  <si>
    <t>N08.03</t>
  </si>
  <si>
    <t>Vochtige duinvallei</t>
  </si>
  <si>
    <t>N08.04</t>
  </si>
  <si>
    <t>Duinheide</t>
  </si>
  <si>
    <t>N09.01</t>
  </si>
  <si>
    <t>Schor of kwelder</t>
  </si>
  <si>
    <t>N10.01</t>
  </si>
  <si>
    <t>Nat schraalland</t>
  </si>
  <si>
    <t>N10.02</t>
  </si>
  <si>
    <t>Vochtig hooiland</t>
  </si>
  <si>
    <t>N11.01</t>
  </si>
  <si>
    <t>Droog schraalgrasland</t>
  </si>
  <si>
    <t>N12.01a</t>
  </si>
  <si>
    <t>Bloemdijk (stroomdalgrasland)</t>
  </si>
  <si>
    <t>N12.01b</t>
  </si>
  <si>
    <t>Bloemdijk (overig)</t>
  </si>
  <si>
    <t>Kruiden- en faunarijk grasland</t>
  </si>
  <si>
    <t>Totaal</t>
  </si>
  <si>
    <t>N12.03</t>
  </si>
  <si>
    <t>Glanshaverhooiland</t>
  </si>
  <si>
    <t>N12.04</t>
  </si>
  <si>
    <t>Zilt- en overstromingsgrasland</t>
  </si>
  <si>
    <t>N12.05</t>
  </si>
  <si>
    <t>Kruiden- en faunarijke akker</t>
  </si>
  <si>
    <t>N12.06</t>
  </si>
  <si>
    <t>Ruigteveld</t>
  </si>
  <si>
    <t>N13.01</t>
  </si>
  <si>
    <t>Vochtig weidevogelgrasland</t>
  </si>
  <si>
    <t>N14.01</t>
  </si>
  <si>
    <t>Rivier- en beekbegeleidend bos</t>
  </si>
  <si>
    <t>N14.02</t>
  </si>
  <si>
    <t>Hoog- en laagveenbos</t>
  </si>
  <si>
    <t>N14.03</t>
  </si>
  <si>
    <t>Haagbeuken- en essenbos</t>
  </si>
  <si>
    <t>N15.01</t>
  </si>
  <si>
    <t>Duinbos</t>
  </si>
  <si>
    <t>Dennen-, eiken- en beukenbos</t>
  </si>
  <si>
    <t>N16.03</t>
  </si>
  <si>
    <t>Droog bos met productie</t>
  </si>
  <si>
    <t>N16.04</t>
  </si>
  <si>
    <t>Vochtig bos met productie</t>
  </si>
  <si>
    <t>N17.01</t>
  </si>
  <si>
    <t>Vochtig hakhout en middenbos</t>
  </si>
  <si>
    <t>N17.02</t>
  </si>
  <si>
    <t>Droog hakhout</t>
  </si>
  <si>
    <t>N17.03</t>
  </si>
  <si>
    <t>Park- en stinzenbos</t>
  </si>
  <si>
    <t>N17.04</t>
  </si>
  <si>
    <t>Eendenkooi</t>
  </si>
  <si>
    <t>N17.05</t>
  </si>
  <si>
    <t>Wilgengriend</t>
  </si>
  <si>
    <t>N17.06</t>
  </si>
  <si>
    <t>Vochtig en hellinghakhout</t>
  </si>
  <si>
    <t xml:space="preserve">Dit tabblad berekent per beheertype de kostprijs. Voor ieder  beheertype is in kolom C aangegeven welke karteringen zijn voorgeschreven. Daarna wordt de complexiteit van dat beheertype opgehaald uit tabblad 4. 'Beheertypen complexiteit'. Bijbehorende kostprijs per kartering is te vinden in kolommene E en F. De kosten worden hierna omgerekend naar jaarlijkse kosten (te vinden in kolommen H en I). De opslag voor het aanbesteden van het gebied staat in kolom J weergegeven. Kolommen K en L geven dan de totale jaarlijkse kosten per beheertype. Beheertype N2.01 t/m N05.01 vallen buiten de SNL en worden daarom niet apart in kaart gebracht. Dit tabblad wordt automatisch gegenereerd en kan dus niet handmatig aangepast worden, behalve voor kolom C en G. Mochten de monitoringseisen of de frequentie van de kartering wijzigen kunnen deze in de betreffende kolommen alleen handmatig aangepast worden. Let op: wanneer de monitoringseisen aangepast worden, moeten de handmatig doorverwezen worden om voor de juiste kostprijsberekening.   </t>
  </si>
  <si>
    <r>
      <rPr>
        <b/>
        <sz val="7"/>
        <rFont val="Verdana"/>
        <family val="2"/>
        <scheme val="minor"/>
      </rPr>
      <t>Tabel 1.</t>
    </r>
    <r>
      <rPr>
        <sz val="7"/>
        <rFont val="Verdana"/>
        <family val="2"/>
        <scheme val="minor"/>
      </rPr>
      <t xml:space="preserve"> Rekenveld kostprijs per beheertype</t>
    </r>
  </si>
  <si>
    <t>Verplichte kartering</t>
  </si>
  <si>
    <t xml:space="preserve">Complexiteit </t>
  </si>
  <si>
    <t>Kostprijs per monitor</t>
  </si>
  <si>
    <t>Frequentie (jaar)</t>
  </si>
  <si>
    <t>Kostprijs per monitor (jaar)</t>
  </si>
  <si>
    <t>Opslag activiteit 0</t>
  </si>
  <si>
    <t>Structuurelementen</t>
  </si>
  <si>
    <t xml:space="preserve">Bloemdijk </t>
  </si>
  <si>
    <t>Bloemdijk</t>
  </si>
  <si>
    <t xml:space="preserve">Dit tabblad geeft een aantal parameters weer die gebruikt worden in de kostprijsberekeningen. De uurtarieven (tabel 1 en 2) en vastgestelde gebiedsgrootte (tabel 3) worden gebruikt in tabblad 5 t/m 10. Tabel 4 geeft de berekening van stap 0. Voorbereiden aanbesteding weer. Dit bedrag wordt in tabblad 2. 'Kostprijs per beheertype' opgeteld bij de kostprijs per beheertype. Tabel 5. geeft de mogelijkheid om eventueel in een later stadium de kostprijs voor Structuurelementen op te nemen in de kostprijsberekening.  Deze tabellen kunnen allemaal handmatig aangepast worden. </t>
  </si>
  <si>
    <r>
      <t xml:space="preserve">Tabel 1. </t>
    </r>
    <r>
      <rPr>
        <sz val="7"/>
        <color theme="1"/>
        <rFont val="Verdana"/>
        <family val="2"/>
        <scheme val="minor"/>
      </rPr>
      <t>Uurtarieven</t>
    </r>
  </si>
  <si>
    <t>waarde 2022</t>
  </si>
  <si>
    <t>waarde 2023</t>
  </si>
  <si>
    <t>Uitvoerder</t>
  </si>
  <si>
    <t>Tarief</t>
  </si>
  <si>
    <t>Toelichting</t>
  </si>
  <si>
    <t>geactualiseerd met CPI-2022 (=9,97%)</t>
  </si>
  <si>
    <t>Karteerbureau</t>
  </si>
  <si>
    <t>Hoog</t>
  </si>
  <si>
    <t xml:space="preserve">Gebaseerd op tarieven uit aangeleverde offertes en raamovereenkomst. De tarieven zijn geindexeerd op basis van CBS cijfers. </t>
  </si>
  <si>
    <t>Laag</t>
  </si>
  <si>
    <t>geactualisserd op basis CAO Rijk 11.10 per 1 april 2023</t>
  </si>
  <si>
    <t>TBO's</t>
  </si>
  <si>
    <t>Intern</t>
  </si>
  <si>
    <t xml:space="preserve">Zie onderstaande tabel voor toelichting op de berekening. </t>
  </si>
  <si>
    <r>
      <t xml:space="preserve">Tabel 2. </t>
    </r>
    <r>
      <rPr>
        <sz val="7"/>
        <color theme="1"/>
        <rFont val="Verdana"/>
        <family val="2"/>
        <scheme val="minor"/>
      </rPr>
      <t>Uurtarieven TBO's</t>
    </r>
  </si>
  <si>
    <t>Onderdeel</t>
  </si>
  <si>
    <t>Bedrag</t>
  </si>
  <si>
    <t>Bron</t>
  </si>
  <si>
    <t>Bruto weekloon</t>
  </si>
  <si>
    <t>Cao Rijk schaal 11</t>
  </si>
  <si>
    <t>€ 5.503,57 / 4,33 (gemiddeld aantal weken per maand) (Cao Rijk, per 1 april 2023)</t>
  </si>
  <si>
    <t>waarde 2022 Cao Rijk</t>
  </si>
  <si>
    <t>Vakantietoeslag</t>
  </si>
  <si>
    <t xml:space="preserve">Cao Rijk </t>
  </si>
  <si>
    <t>8% o.b.v. cao Rijk</t>
  </si>
  <si>
    <t>€ 5.140 / 4,33 (gemiddeld aantal weken per maand)</t>
  </si>
  <si>
    <t>Sociale premies</t>
  </si>
  <si>
    <t>SKP Beheer (37% van bruto weekloon)</t>
  </si>
  <si>
    <t xml:space="preserve">Pensioen, zorgverzekering, WAO, WW, kinderopvang, werkhervatting, overbruggingsfonds, arbeidsmarkt, aanvulling WW </t>
  </si>
  <si>
    <t>Vergoedingen</t>
  </si>
  <si>
    <t>SKP Beheer (2% van bruto weekloon)</t>
  </si>
  <si>
    <t>(reiskosten, gereedschap, kleding)</t>
  </si>
  <si>
    <t>Werkgeverskosten per week</t>
  </si>
  <si>
    <t>Uren per week</t>
  </si>
  <si>
    <t xml:space="preserve">Cao Bos en Natuur </t>
  </si>
  <si>
    <t>waarde 2023 Cao Rijk</t>
  </si>
  <si>
    <t>Onproductief</t>
  </si>
  <si>
    <t>SKP Beheer</t>
  </si>
  <si>
    <t xml:space="preserve">Transport, kort verzuim, ziekteverzuim, ontwikkeling, ontspanning </t>
  </si>
  <si>
    <t>per 1 april 2023 bedraagt Cao Rijk schaal 11 5.503,57 euro per maand</t>
  </si>
  <si>
    <t>Roostervrije dagen</t>
  </si>
  <si>
    <t>Opbouw roostervrije dagen</t>
  </si>
  <si>
    <t xml:space="preserve"> is gelijk aan </t>
  </si>
  <si>
    <t>1.271,03 per week</t>
  </si>
  <si>
    <t>Vakantiedagen</t>
  </si>
  <si>
    <t>Vakantiedagen en feestdagen</t>
  </si>
  <si>
    <t>Totaal productief</t>
  </si>
  <si>
    <t>Uurtarief</t>
  </si>
  <si>
    <r>
      <rPr>
        <b/>
        <sz val="7"/>
        <color theme="1"/>
        <rFont val="Verdana"/>
        <family val="2"/>
        <scheme val="minor"/>
      </rPr>
      <t>Tabel 3.</t>
    </r>
    <r>
      <rPr>
        <sz val="7"/>
        <color theme="1"/>
        <rFont val="Verdana"/>
        <family val="2"/>
        <scheme val="minor"/>
      </rPr>
      <t xml:space="preserve"> Vastgestelde gebiedsgrootte</t>
    </r>
  </si>
  <si>
    <t>Aantal hectare</t>
  </si>
  <si>
    <t>Gemiddelde gebiedsgrootte</t>
  </si>
  <si>
    <t xml:space="preserve">De gemiddelde gebiedsgrootte is gebaseerd op expertinschattingen. Het wordt gebruikt om voor de omrekening van gebied naar hectare in tabbladen 5 t/m 10. </t>
  </si>
  <si>
    <r>
      <rPr>
        <b/>
        <sz val="7"/>
        <color theme="1"/>
        <rFont val="Verdana"/>
        <family val="2"/>
        <scheme val="minor"/>
      </rPr>
      <t>Tabel 4.</t>
    </r>
    <r>
      <rPr>
        <sz val="7"/>
        <color theme="1"/>
        <rFont val="Verdana"/>
        <family val="2"/>
        <scheme val="minor"/>
      </rPr>
      <t xml:space="preserve"> Processtap 0. Voorbereiden aanbesteding </t>
    </r>
  </si>
  <si>
    <t>voorbereiding (uur)</t>
  </si>
  <si>
    <t xml:space="preserve">De hier gebruikte gegevens zijn afkomstig van Staatsbosbeheer. Hiervoor zijn voor het totale proces zoals beschreven bij processtap 0 (in tabbladen 5 t/m 10) de tijdbestedingen per jaar genomen en gedeeld door het aantal hectare dat daarmee is aanbesteed en vermenigvuldigd met het uurtarief. </t>
  </si>
  <si>
    <t>te karteren oppervlakte (ha)</t>
  </si>
  <si>
    <t>Tijd (uren) per ha beheertype</t>
  </si>
  <si>
    <t>Opslag per ha beheertype</t>
  </si>
  <si>
    <r>
      <rPr>
        <b/>
        <sz val="7"/>
        <color theme="1"/>
        <rFont val="Verdana"/>
        <family val="2"/>
        <scheme val="minor"/>
      </rPr>
      <t>Tabel 5.</t>
    </r>
    <r>
      <rPr>
        <sz val="7"/>
        <color theme="1"/>
        <rFont val="Verdana"/>
        <family val="2"/>
        <scheme val="minor"/>
      </rPr>
      <t xml:space="preserve"> Bepaling kostptijs structuurelementen</t>
    </r>
  </si>
  <si>
    <t>Onderdelen traject</t>
  </si>
  <si>
    <t>Niveau 1</t>
  </si>
  <si>
    <t>Niveau 2</t>
  </si>
  <si>
    <t>Niveau 3</t>
  </si>
  <si>
    <t>Gemiddelde tijdbesteding</t>
  </si>
  <si>
    <t xml:space="preserve">Omdat de uitgangspunten en uitvoering in de praktijk nog te verschillend zijn,  is de tijdbesteding voor Structuurelementen in de huidige situatie 0. </t>
  </si>
  <si>
    <t xml:space="preserve">Dit tabblad deelt beheertypen per kartering in niveaus in. Dit tabblad is input voor tabblad 2. Kostprijs per beheertype.  Tabel 1 wordt automatisch gegenereerd uit tabel 2 t/m 7. Eventuele aanpassingen kunnen daarom in tabellen 2 t/m 7 gemaakt worden (binnen de kaders), kolommen L, N, P en R worden hiervoor gebruikt en zijn daarom verborgen, verwijder deze kolommen niet. </t>
  </si>
  <si>
    <r>
      <rPr>
        <b/>
        <sz val="8"/>
        <color theme="1"/>
        <rFont val="Verdana"/>
        <family val="2"/>
        <scheme val="minor"/>
      </rPr>
      <t>Tabel 1.</t>
    </r>
    <r>
      <rPr>
        <sz val="8"/>
        <color theme="1"/>
        <rFont val="Verdana"/>
        <family val="2"/>
        <scheme val="minor"/>
      </rPr>
      <t xml:space="preserve"> Samenvatting indeling beheertypen </t>
    </r>
  </si>
  <si>
    <r>
      <t xml:space="preserve">Tabel 2. </t>
    </r>
    <r>
      <rPr>
        <sz val="7"/>
        <color theme="1"/>
        <rFont val="Verdana"/>
        <family val="2"/>
        <scheme val="minor"/>
      </rPr>
      <t xml:space="preserve">Indeling vegetatiekartering </t>
    </r>
  </si>
  <si>
    <t>Naam</t>
  </si>
  <si>
    <t xml:space="preserve">Niveau 3 </t>
  </si>
  <si>
    <t xml:space="preserve">Niveau 4 </t>
  </si>
  <si>
    <r>
      <t xml:space="preserve">Tabel 3. </t>
    </r>
    <r>
      <rPr>
        <sz val="7"/>
        <color theme="1"/>
        <rFont val="Verdana"/>
        <family val="2"/>
        <scheme val="minor"/>
      </rPr>
      <t>Plantenkartering</t>
    </r>
  </si>
  <si>
    <r>
      <t xml:space="preserve">Tabel 4. </t>
    </r>
    <r>
      <rPr>
        <sz val="7"/>
        <color theme="1"/>
        <rFont val="Verdana"/>
        <family val="2"/>
        <scheme val="minor"/>
      </rPr>
      <t>Indeling broedvogelkartering</t>
    </r>
  </si>
  <si>
    <t xml:space="preserve">* Wij nemen aan dat de indeling van Structuurelementen gelijk is aan de indeling voor de plantenkartering. </t>
  </si>
  <si>
    <r>
      <t xml:space="preserve">Tabel 5. </t>
    </r>
    <r>
      <rPr>
        <sz val="7"/>
        <color theme="1"/>
        <rFont val="Verdana"/>
        <family val="2"/>
        <scheme val="minor"/>
      </rPr>
      <t xml:space="preserve">Indeling dagvlinders en sprinkhanen </t>
    </r>
  </si>
  <si>
    <r>
      <t xml:space="preserve">Tabel 6. </t>
    </r>
    <r>
      <rPr>
        <sz val="7"/>
        <color theme="1"/>
        <rFont val="Verdana"/>
        <family val="2"/>
        <scheme val="minor"/>
      </rPr>
      <t>Indeling libellenkartering</t>
    </r>
  </si>
  <si>
    <r>
      <t xml:space="preserve">Tabel 7. </t>
    </r>
    <r>
      <rPr>
        <sz val="7"/>
        <color theme="1"/>
        <rFont val="Verdana"/>
        <family val="2"/>
        <scheme val="minor"/>
      </rPr>
      <t>Indeling bosstructuurkartering</t>
    </r>
  </si>
  <si>
    <r>
      <t xml:space="preserve">Tabel 1. </t>
    </r>
    <r>
      <rPr>
        <sz val="8"/>
        <rFont val="Verdana"/>
        <family val="2"/>
        <scheme val="minor"/>
      </rPr>
      <t xml:space="preserve">Samenvatting kosten per type onderzoek </t>
    </r>
  </si>
  <si>
    <r>
      <rPr>
        <b/>
        <sz val="8.5"/>
        <rFont val="Verdana"/>
        <family val="2"/>
        <scheme val="minor"/>
      </rPr>
      <t xml:space="preserve">Definities: 
</t>
    </r>
    <r>
      <rPr>
        <sz val="8.5"/>
        <rFont val="Verdana"/>
        <family val="2"/>
        <scheme val="minor"/>
      </rPr>
      <t xml:space="preserve">SNL monitoring: standaard monitoring </t>
    </r>
    <r>
      <rPr>
        <u/>
        <sz val="8.5"/>
        <rFont val="Verdana"/>
        <family val="2"/>
        <scheme val="minor"/>
      </rPr>
      <t>zonder</t>
    </r>
    <r>
      <rPr>
        <sz val="8.5"/>
        <rFont val="Verdana"/>
        <family val="2"/>
        <scheme val="minor"/>
      </rPr>
      <t xml:space="preserve"> habitattypekaart
N2000/RL monitoring: standaard monitoring </t>
    </r>
    <r>
      <rPr>
        <u/>
        <sz val="8.5"/>
        <rFont val="Verdana"/>
        <family val="2"/>
        <scheme val="minor"/>
      </rPr>
      <t>met</t>
    </r>
    <r>
      <rPr>
        <sz val="8.5"/>
        <rFont val="Verdana"/>
        <family val="2"/>
        <scheme val="minor"/>
      </rPr>
      <t xml:space="preserve"> habitattypekaart
</t>
    </r>
  </si>
  <si>
    <r>
      <t xml:space="preserve">Figuur 1. </t>
    </r>
    <r>
      <rPr>
        <sz val="8"/>
        <rFont val="Verdana"/>
        <family val="2"/>
        <scheme val="minor"/>
      </rPr>
      <t>Verdeling kostprijsberekening Vegetatiekartering (SNL)</t>
    </r>
  </si>
  <si>
    <r>
      <rPr>
        <b/>
        <sz val="8"/>
        <rFont val="Verdana"/>
        <family val="2"/>
        <scheme val="minor"/>
      </rPr>
      <t>Tabel 3.</t>
    </r>
    <r>
      <rPr>
        <sz val="8"/>
        <rFont val="Verdana"/>
        <family val="2"/>
        <scheme val="minor"/>
      </rPr>
      <t xml:space="preserve"> Verdeling kostprijsberekening Vegetatiekartering (SNL)</t>
    </r>
  </si>
  <si>
    <t>Niveau 4</t>
  </si>
  <si>
    <t xml:space="preserve">Niveau 1 </t>
  </si>
  <si>
    <t xml:space="preserve">bureauwerk </t>
  </si>
  <si>
    <t>TBO</t>
  </si>
  <si>
    <t>bureauwerk TBO</t>
  </si>
  <si>
    <t>bureauwerk Karteerbureau</t>
  </si>
  <si>
    <t>Veldwerk 1 jaar</t>
  </si>
  <si>
    <t>Karteerbureau*</t>
  </si>
  <si>
    <t>Veldwerk Karteerbureau 1 jaar</t>
  </si>
  <si>
    <t>Veldwerk 2 jaar</t>
  </si>
  <si>
    <t>Kostprijs 1 jaar methode</t>
  </si>
  <si>
    <r>
      <t xml:space="preserve">Notatie:
- </t>
    </r>
    <r>
      <rPr>
        <sz val="8.5"/>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5"/>
        <rFont val="Verdana"/>
        <family val="2"/>
        <scheme val="minor"/>
      </rPr>
      <t xml:space="preserve">
</t>
    </r>
    <r>
      <rPr>
        <i/>
        <sz val="8.5"/>
        <rFont val="Verdana"/>
        <family val="2"/>
        <scheme val="minor"/>
      </rPr>
      <t xml:space="preserve">Voorbeeld (cel K31)
</t>
    </r>
    <r>
      <rPr>
        <sz val="8.5"/>
        <rFont val="Verdana"/>
        <family val="2"/>
        <scheme val="minor"/>
      </rPr>
      <t xml:space="preserve">Inhoudelijke voorbereiding kost ongeveer 41 uur, gedeeld door 250 ha komt dit uit op 10 minuten per hectare. </t>
    </r>
  </si>
  <si>
    <t xml:space="preserve">Analyse </t>
  </si>
  <si>
    <t>Kostprijs 2 jaar methode</t>
  </si>
  <si>
    <t>De grafiek en tabel laten zien dat wanneer veldwerkzaamheden afnemen de bureauwerkzaamheden naar verhouding toenemen.</t>
  </si>
  <si>
    <t>Kostprijs vegetatiekartering</t>
  </si>
  <si>
    <t>* In dit onderzoek is het uitgangspunt dat karteerbureaus al het veldwerk uitvoeren</t>
  </si>
  <si>
    <r>
      <rPr>
        <b/>
        <sz val="8"/>
        <rFont val="Verdana"/>
        <family val="2"/>
        <scheme val="minor"/>
      </rPr>
      <t>Tabel 2.</t>
    </r>
    <r>
      <rPr>
        <sz val="8"/>
        <rFont val="Verdana"/>
        <family val="2"/>
        <scheme val="minor"/>
      </rPr>
      <t xml:space="preserve"> Samenvatting kosten per processtap</t>
    </r>
  </si>
  <si>
    <t>Processtap</t>
  </si>
  <si>
    <t>Activiteiten</t>
  </si>
  <si>
    <t>Uitvoerende partij</t>
  </si>
  <si>
    <t>Tijdbesteding</t>
  </si>
  <si>
    <t>Eenheid</t>
  </si>
  <si>
    <t>Opmerkingen</t>
  </si>
  <si>
    <t>Aantal ronden</t>
  </si>
  <si>
    <t>Materiële kosten</t>
  </si>
  <si>
    <t xml:space="preserve">Totale kosten </t>
  </si>
  <si>
    <t xml:space="preserve">Niveau 2 </t>
  </si>
  <si>
    <t>Voordat een kartering wordt uitgevoerd, verzorgen de TBO's de procesmatige voorbereiding. Dit bestaat uit het vertalen van een meerjarenplanning van de provincie naar een eigen jaarplanning. O.b.v. provinciale meerjarenplanning en de beheertypenkaart (GIS) bepaalt de TBO (eventueel in overleg met andere beheerders) welke gebieden wanneer worden gemonitord. Op basis hiervan wordt een aanbesteding uitgeschreven, beoordeeld en gegund voor het uitvoeren van de kartering door externe karteerbureaus voor de terreinen die niet door eigen personeel worden uitgevoerd. De tijdsbesteding en kosten voor het uitbrengen van een offerte door externe partijen is geen onderdeel van de kostprijsberekening omdat deze kosten verdisconteerd zijn in de offerte.
Dit is geen onderdeel van de kostprijsberekening van deze kartering en is afzonderlijk opgenomen in tabblad 3.</t>
  </si>
  <si>
    <t>0.1 Administratieve voorbereiding</t>
  </si>
  <si>
    <t>Wordt als totaal bepaald op tabblad 3. Parameters kostprijsmodel</t>
  </si>
  <si>
    <t>0.2 Kwaliteitscontrole/ uitschrijven aanbesteding</t>
  </si>
  <si>
    <t xml:space="preserve">Voor de inhoudelijke voorbereiding wordt door het karteerbureau een digitaal platform ingericht (GIS) waarop veldkaarten worden gemaakt. Hierbij worden de kaarten van de vorige kartering (voor zover beschikbaar), luchtfoto's en soms satellietdata gebruikt. Daarnaast wordt een voorlopige typologie gemaakt. Hierbij wordt gebruik gemaakt van het Vegetatiekarteringsprotocol (2016). Na gunning volgt een startbespreking met het karteerbureau en de TBO's. Er worden nadere afspraken gemaakt over de kartering (bijv. soortenlijst) en over praktische zaken (bijv. toegang tot terreinen). In deze activiteit werken TBO's en karteerbureaus samen, daarom is voor beide afzonderlijk een tijdsbesteding opgenomen. Karteerbureaus bereiden de kartering daarna praktisch voor. </t>
  </si>
  <si>
    <t>1.1 Inhoudelijke voorbereiding</t>
  </si>
  <si>
    <t>Uren per hectare</t>
  </si>
  <si>
    <t xml:space="preserve">Expertinschatting per vastgestelde gebiedsgrootte  </t>
  </si>
  <si>
    <t>1.2 Startbespreking</t>
  </si>
  <si>
    <t>1.3 Praktische voorbereiding bureaus</t>
  </si>
  <si>
    <t>Voor het maken van de vegetatiekaart zijn er twee opties: een cyclus in 1 jaar en een cyclus in 2 jaar (deze laatste wordt ook wel ‘tweejarige kartering’ genoemd)</t>
  </si>
  <si>
    <r>
      <rPr>
        <b/>
        <sz val="8"/>
        <color theme="1"/>
        <rFont val="Verdana"/>
        <family val="2"/>
        <scheme val="minor"/>
      </rPr>
      <t>1 jaar methode:</t>
    </r>
    <r>
      <rPr>
        <sz val="8"/>
        <color theme="1"/>
        <rFont val="Verdana"/>
        <family val="2"/>
        <scheme val="minor"/>
      </rPr>
      <t xml:space="preserve"> de voorlopige typologie wordt onderbouwd/aangepast aan de hand van vegetatieopnamen, die geclusterd de definitieve vegetatietypologie vormen. In het veld worden de vegetatietypen uit de definitieve vegetatietypologie gekoppeld aan de vlakken in het GIS bestand. Eventueel worden grenzen in het GIS bestand aangepast, als de veldsituatie hiertoe aanleiding geeft. Het vlakkenbestand met de vegetatietypen, de vegetatietypologie en de rapportage (en hun onderliggende digitale producten) zijn eindproducten van de kartering.</t>
    </r>
  </si>
  <si>
    <t xml:space="preserve">2.1 Veldonderzoek </t>
  </si>
  <si>
    <t>Expertinschatting</t>
  </si>
  <si>
    <t>2.2 Verwerking veldonderzoek</t>
  </si>
  <si>
    <r>
      <rPr>
        <b/>
        <sz val="8"/>
        <color theme="1"/>
        <rFont val="Verdana"/>
        <family val="2"/>
        <scheme val="minor"/>
      </rPr>
      <t xml:space="preserve">2 jaar methode: </t>
    </r>
    <r>
      <rPr>
        <sz val="8"/>
        <color theme="1"/>
        <rFont val="Verdana"/>
        <family val="2"/>
        <scheme val="minor"/>
      </rPr>
      <t>Tijdens het veldbezoek in jaar 1 wordt de voorlopige typologie getoetst en onderbouwd d.m.v. vegetatieopnamen. Dit resulteert in een classificatietabel van de vegetaties in het te karteren gebied (vegetatietypologie) en een kaart in GIS met de grenzen van de vegetaties in het gebied en een grove indeling van de lokale typologie. Na goedkeuring door de opdrachtgever wordt in het tweede jaar de 'lege' kaart ingevuld. Het resultaat is een ingevulde vegetatiekaart met vegetatietypen uit de vastgestelde vegetatietypologie of aangepast op basis van de definitieve typen als er al een voorlopige vulling in jaar 1 was uitgevoerd. Eventueel worden aanvullende vegetatieopnamen gemaakt als typen nog onvoldoende onderbouwd zi</t>
    </r>
    <r>
      <rPr>
        <sz val="8"/>
        <rFont val="Verdana"/>
        <family val="2"/>
        <scheme val="minor"/>
      </rPr>
      <t xml:space="preserve">jn. Het resultaat is een ingevulde vegetatiekaart en de bijbehorende rapportage, digitaal (GIS, Turboveg, pdf) en analoog. </t>
    </r>
  </si>
  <si>
    <t>3.1 Veldonderzoek vegetatieopnamen</t>
  </si>
  <si>
    <t>Info Staatsbosbeheer: 2-jaarsmethode kost 15% meer tijd</t>
  </si>
  <si>
    <t xml:space="preserve">3.2 Verwerking veldonderzoek </t>
  </si>
  <si>
    <t>3.3 Veldonderzoek vegetatiekaart</t>
  </si>
  <si>
    <t xml:space="preserve">3.4 Verwerking veldonderzoek </t>
  </si>
  <si>
    <t xml:space="preserve">Structuurelementen zijn een toevoeging op de vegetatiekaarten. De veldwerkzaamheden bestaan uit het bepalen van de bedekking van soorten op bepaalde structuurlagen. Structuurelementen geven achtergrondinformatie om beheertypen beter te begrijpen en kwalificeren.
De werkzaamheden voor structuurelementen vallen in de huidige situatie binnen de activiteit Veldonderzoek. 
</t>
  </si>
  <si>
    <t>4. Bepalen structuurelementen</t>
  </si>
  <si>
    <t xml:space="preserve">Tijdbesteding is meegenomen in activiteit 2.1 of 3.1 </t>
  </si>
  <si>
    <t xml:space="preserve">Nadat het veld (één of twee keer) is bezocht worden de gegevens bewerkt en opgeleverd in het juiste format en daarnaast beschreven in een digitale vegetatiekaart met de bijbehorende achterliggende bestanden, en een begeleidend rapport. Het rapport geeft onder andere een omschrijving van het karteergebied, aandachtspunten tijdens het veldonderzoek en een foutendiscussie. </t>
  </si>
  <si>
    <t>5.1 Bewerken en opleveren data</t>
  </si>
  <si>
    <t>5.2 Schrijven rapport</t>
  </si>
  <si>
    <t/>
  </si>
  <si>
    <r>
      <t>Tijdens de kartering begeleidt de TBO de uitvoerende partij. De TBO controleert de uitvoering van de veldwerkzaamheden en beoordeelt de aangeleverde gegevens.</t>
    </r>
    <r>
      <rPr>
        <sz val="8"/>
        <rFont val="Verdana"/>
        <family val="2"/>
        <scheme val="minor"/>
      </rPr>
      <t xml:space="preserve"> </t>
    </r>
    <r>
      <rPr>
        <sz val="8"/>
        <color theme="1"/>
        <rFont val="Verdana"/>
        <family val="2"/>
        <scheme val="minor"/>
      </rPr>
      <t xml:space="preserve">Voor de 2 jaar methode controleert de opdrachtgever de typologie en het GIS-bestand, voordat het tweede jaar start. </t>
    </r>
  </si>
  <si>
    <t xml:space="preserve">6.1  Begeleiding </t>
  </si>
  <si>
    <t>Expert is hier weinig bij betrokken geweest</t>
  </si>
  <si>
    <t xml:space="preserve">6.2 Controle gegevens  </t>
  </si>
  <si>
    <t xml:space="preserve">De habitattypenkaart wordt alleen germaakt voor Natura 2000-gebieden. De provincie schrijft een aparte opdracht uit voor het maken van deze kaart bij (bij voorkeur) dezelfde partij die de vegetatiekartering heeft uitgevoerd. 
De tijdbesteding van de habitattypekaart kan in de huidige situatie niet in kaart gebracht worden.  </t>
  </si>
  <si>
    <t>7. Maken habitattypekaart</t>
  </si>
  <si>
    <t xml:space="preserve">Tijdbesteding voor het maken van de habitattypekaart is op dit moment niet in kaart te brengen. </t>
  </si>
  <si>
    <r>
      <rPr>
        <b/>
        <sz val="8.5"/>
        <rFont val="Verdana"/>
        <family val="2"/>
        <scheme val="minor"/>
      </rPr>
      <t xml:space="preserve">Definities: </t>
    </r>
    <r>
      <rPr>
        <sz val="8.5"/>
        <rFont val="Verdana"/>
        <family val="2"/>
        <scheme val="minor"/>
      </rPr>
      <t xml:space="preserve">
SNL monitoring: standaard monitoring </t>
    </r>
    <r>
      <rPr>
        <u/>
        <sz val="8.5"/>
        <rFont val="Verdana"/>
        <family val="2"/>
        <scheme val="minor"/>
      </rPr>
      <t xml:space="preserve">zonder </t>
    </r>
    <r>
      <rPr>
        <sz val="8.5"/>
        <rFont val="Verdana"/>
        <family val="2"/>
        <scheme val="minor"/>
      </rPr>
      <t xml:space="preserve">extra ronden voor niet-SNL soorten
Uitgebreide monitoring: standaard monitoring </t>
    </r>
    <r>
      <rPr>
        <u/>
        <sz val="8.5"/>
        <rFont val="Verdana"/>
        <family val="2"/>
        <scheme val="minor"/>
      </rPr>
      <t>met</t>
    </r>
    <r>
      <rPr>
        <sz val="8.5"/>
        <rFont val="Verdana"/>
        <family val="2"/>
        <scheme val="minor"/>
      </rPr>
      <t xml:space="preserve"> extra ronden voor niet-SNL soorten
</t>
    </r>
  </si>
  <si>
    <r>
      <t xml:space="preserve">Figuur 1. </t>
    </r>
    <r>
      <rPr>
        <sz val="8"/>
        <rFont val="Verdana"/>
        <family val="2"/>
        <scheme val="minor"/>
      </rPr>
      <t>Verdeling kostprijsberekening Plantenkartering (SNL)</t>
    </r>
  </si>
  <si>
    <r>
      <rPr>
        <b/>
        <sz val="8"/>
        <rFont val="Verdana"/>
        <family val="2"/>
        <scheme val="minor"/>
      </rPr>
      <t>Tabel 3.</t>
    </r>
    <r>
      <rPr>
        <sz val="8"/>
        <rFont val="Verdana"/>
        <family val="2"/>
        <scheme val="minor"/>
      </rPr>
      <t xml:space="preserve"> Verdeling kostprijsberekening Plantenkartering (SNL)</t>
    </r>
  </si>
  <si>
    <t>Veldwerk</t>
  </si>
  <si>
    <t xml:space="preserve">Veldwerk Karteerbureau </t>
  </si>
  <si>
    <r>
      <t xml:space="preserve">Notatie:
- </t>
    </r>
    <r>
      <rPr>
        <sz val="8.5"/>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5"/>
        <rFont val="Verdana"/>
        <family val="2"/>
        <scheme val="minor"/>
      </rPr>
      <t xml:space="preserve">
</t>
    </r>
    <r>
      <rPr>
        <i/>
        <sz val="8.5"/>
        <rFont val="Verdana"/>
        <family val="2"/>
        <scheme val="minor"/>
      </rPr>
      <t xml:space="preserve">Voorbeeld (cel K30)
</t>
    </r>
    <r>
      <rPr>
        <sz val="8.5"/>
        <rFont val="Verdana"/>
        <family val="2"/>
        <scheme val="minor"/>
      </rPr>
      <t xml:space="preserve">Inhoudelijke voorbereiding kost ongeveer 12 uur, gedeeld door 250 ha komt dit uit op 3 minuten per hectare. </t>
    </r>
  </si>
  <si>
    <t xml:space="preserve">Tarief </t>
  </si>
  <si>
    <t>Totale kosten</t>
  </si>
  <si>
    <t>Voor de inhoudelijke voorbereiding wordt door het Karteerbureaueen een digitaal platform ingericht (GIS) waarop veldkaarten worden gemaakt. Hierbij worden de kaarten van de vorige kartering (voor zover beschikbaar),  luchtfoto's en soms satellietdata gebruikt. De opdrachtgever voert deze taken uit. Deze bepaalt hoeveel ronden nodig zijn en in welke tijd bepaalde soorten het best gemonitord kunnen worden. Daarnaast is er ook een startbespreking met alle betrokken partijen. In deze processtap werken TBO's en karteerbureaus samen vandaar dat voor beide afzonderlijk een tijdsbesteding is opgenomen. De uitvoerende partij bereidt de monitoring praktisch voor door middel van een voorlopige veldplanning.</t>
  </si>
  <si>
    <t xml:space="preserve">Tijdens het veldonderzoek wordt minimaal 80% van alle groeiplaatsen van de  karteersoorten in kaart gebracht. Dit zijn SNL-soorten, maar ook rode lijstsoorten 0, 1 en 2, typische soorten en invasieve exoten. De precieze invulling van de monitoring verschilt per organisatie. In sommige gevallen worden bijvoorbeeld ook de aantallen van soorten ingeschat. 
Zeldzame soorten worden o.b.v. oude gegevens nagelopen, hier worden dus geen extra rondes voor gedaan. </t>
  </si>
  <si>
    <t>2.1 Veldonderzoek</t>
  </si>
  <si>
    <t xml:space="preserve">2.2 Verwerking Veldonderzoek </t>
  </si>
  <si>
    <t xml:space="preserve">Bij sommige beheertypen is naast het veldonderzoek (activiteit 2) ook een aanvullende voor- of najaarsronde nodig voor N2000/ RL-soorten. Bij het extra veldonderzoek wordt specifiek gemonitord op bepaalde plekken en voor bepaalde soorten. Voor- en najaarsronden zijn niet verplicht. 
</t>
  </si>
  <si>
    <t>3.1 Voor- en najaarsronden</t>
  </si>
  <si>
    <t>Expertinschatting 30% van veldtijd</t>
  </si>
  <si>
    <t xml:space="preserve">Structuurelementen kunnen ook tijdens de plantenmonitoring in kaart worden gebracht. De veldwerkzaamheden bestaan uit het bepalen van de bedekking van soorten op bepaalde structuurlagen. Structuurelementen geven achtergrondinformatie om beheertypen beter te begrijpen en kwalificeren.
De werkzaamheden voor structuurelementen vallen in de huidige situatie binnen de activiteit veldonderzoek. </t>
  </si>
  <si>
    <t xml:space="preserve">Tijdbesteding is meegenomen in activiteit 2.1 Veldonderzoek </t>
  </si>
  <si>
    <t xml:space="preserve">Nadat het veld (één of twee keer) is bezocht worden de gegevens bewerkt en opgeleverd in het juiste (GIS)format en daarnaast beschreven in een rapport. Het rapport bestaat uit een omschrijving van het te monitoren gebied, aandachtspunten tijdens het veldwerk en een foutendiscussie. </t>
  </si>
  <si>
    <t>5.1  Bewerken en opleveren data</t>
  </si>
  <si>
    <t xml:space="preserve">Tijdens de kartering begeleidt de TBO de uitvoerende partij. De TBO begeleidt de uitvoering van de veldwerkzaamheden en controleert de aangeleverde tussen- en eindproducten.  </t>
  </si>
  <si>
    <t>6.1 Begeleiding door TBO's</t>
  </si>
  <si>
    <t>6.2 Controle gegevens</t>
  </si>
  <si>
    <r>
      <rPr>
        <b/>
        <sz val="8.5"/>
        <rFont val="Verdana"/>
        <family val="2"/>
        <scheme val="minor"/>
      </rPr>
      <t xml:space="preserve">Definities: </t>
    </r>
    <r>
      <rPr>
        <sz val="8.5"/>
        <rFont val="Verdana"/>
        <family val="2"/>
        <scheme val="minor"/>
      </rPr>
      <t xml:space="preserve">
SNL monitoring: standaard monitoring </t>
    </r>
    <r>
      <rPr>
        <u/>
        <sz val="8.5"/>
        <rFont val="Verdana"/>
        <family val="2"/>
        <scheme val="minor"/>
      </rPr>
      <t xml:space="preserve">zonder </t>
    </r>
    <r>
      <rPr>
        <sz val="8.5"/>
        <rFont val="Verdana"/>
        <family val="2"/>
        <scheme val="minor"/>
      </rPr>
      <t xml:space="preserve">specifieke ronden voor niet-SNL soorten
Uitgebreide monitoring: standaard monitoring </t>
    </r>
    <r>
      <rPr>
        <u/>
        <sz val="8.5"/>
        <rFont val="Verdana"/>
        <family val="2"/>
        <scheme val="minor"/>
      </rPr>
      <t>met</t>
    </r>
    <r>
      <rPr>
        <sz val="8.5"/>
        <rFont val="Verdana"/>
        <family val="2"/>
        <scheme val="minor"/>
      </rPr>
      <t xml:space="preserve"> specifieke ronden voor niet-SNL soorten
</t>
    </r>
  </si>
  <si>
    <r>
      <t xml:space="preserve">Figuur 1. </t>
    </r>
    <r>
      <rPr>
        <sz val="8"/>
        <rFont val="Verdana"/>
        <family val="2"/>
        <scheme val="minor"/>
      </rPr>
      <t>Verdeling kostprijsberekening Broedvogelkartering (SNL)</t>
    </r>
  </si>
  <si>
    <r>
      <rPr>
        <b/>
        <sz val="8"/>
        <rFont val="Verdana"/>
        <family val="2"/>
        <scheme val="minor"/>
      </rPr>
      <t>Tabel 3.</t>
    </r>
    <r>
      <rPr>
        <sz val="8"/>
        <rFont val="Verdana"/>
        <family val="2"/>
        <scheme val="minor"/>
      </rPr>
      <t xml:space="preserve"> Verdeling kostprijsberekening Broedvogelkartering</t>
    </r>
  </si>
  <si>
    <r>
      <t xml:space="preserve">Notatie:
- </t>
    </r>
    <r>
      <rPr>
        <sz val="8.5"/>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5"/>
        <rFont val="Verdana"/>
        <family val="2"/>
        <scheme val="minor"/>
      </rPr>
      <t xml:space="preserve">
</t>
    </r>
    <r>
      <rPr>
        <i/>
        <sz val="8.5"/>
        <rFont val="Verdana"/>
        <family val="2"/>
        <scheme val="minor"/>
      </rPr>
      <t xml:space="preserve">Voorbeeld (cel K34)
</t>
    </r>
    <r>
      <rPr>
        <sz val="8.5"/>
        <rFont val="Verdana"/>
        <family val="2"/>
        <scheme val="minor"/>
      </rPr>
      <t xml:space="preserve">Inhoudelijke voorbereiding kost ongeveer 6 uur, gedeeld door 250 ha komt dit uit op 1 minuut per hectare. </t>
    </r>
  </si>
  <si>
    <t>Wie?</t>
  </si>
  <si>
    <t xml:space="preserve">De uitvoerende partij bereidt de monitoring praktisch voor door middel van een voorlopige veldplanning. Deze bepaalt hoeveel ronden nodig zijn en in welke tijd bepaalde soorten het best gemonitord kunnen worden. Daarnaast is er ook een startbespreking met alle betrokken partijen. 
In deze processtap werken TBO's en Karteerbureaus samen vandaar dat voor beide afzonderlijk een tijdsbesteding is opgenomen. </t>
  </si>
  <si>
    <t>1.1 Praktische voorbereiding</t>
  </si>
  <si>
    <t>1.2 Startgesprek</t>
  </si>
  <si>
    <t xml:space="preserve">Voor de monitoring van broedvogels wordt minimaal 5 keer het gebied bezocht. De voorgeschreven soorten (vanuit SNL) worden gemonitord. </t>
  </si>
  <si>
    <t>Voor sommige typische- of rode lijst soorten zijn specifieke ronden nodig, bijvoorbeeld voor de nachtzwaluw. Bij het extra veldonderzoek wordt specifiek gemonitord op bepaalde plekken en voor bepaalde soorten.</t>
  </si>
  <si>
    <t xml:space="preserve">3.1 Specifieke ronde </t>
  </si>
  <si>
    <t>3.2 Verwerken specifieke ronde</t>
  </si>
  <si>
    <t xml:space="preserve">Nadat het veld is bezocht worden de gegevens verwerkt en territoria bepaald. De data wordt op opgeleverd in het juiste format en wordt daarnaast beschreven in een rapport. Het rapport bestaat uit een omschrijving van het te monitoren gebied, aandachtspunten tijdens het veldwerk en een foutendiscussie. In sommige gevallen vraagt de NDFF (Nationale databank flora en fauna) om aanvullend bewijs van zeldzame soorten. </t>
  </si>
  <si>
    <t>4.1 Bewerken en opleveren data</t>
  </si>
  <si>
    <t>4.2 Schrijven rapport</t>
  </si>
  <si>
    <t xml:space="preserve">4.3 Aanleveren extra gegevens </t>
  </si>
  <si>
    <t xml:space="preserve">Tijdens de kartering begeleidt de TBO de uitvoerende partij. De TBO begeleidt de uitvoering van de veldwerkzaamheden en controleert de aangeleverde gegevens steekproefsgewijs.  </t>
  </si>
  <si>
    <t xml:space="preserve">5.1 Begeleiding TBO's </t>
  </si>
  <si>
    <t xml:space="preserve">5.2 Controle gegevens door TBO's </t>
  </si>
  <si>
    <r>
      <t xml:space="preserve">Figuur 1. </t>
    </r>
    <r>
      <rPr>
        <sz val="8"/>
        <rFont val="Verdana"/>
        <family val="2"/>
        <scheme val="minor"/>
      </rPr>
      <t>Verdeling kostprijsberekening Dagvlinders en sprinkhanen (SNL)</t>
    </r>
  </si>
  <si>
    <r>
      <rPr>
        <b/>
        <sz val="8"/>
        <rFont val="Verdana"/>
        <family val="2"/>
        <scheme val="minor"/>
      </rPr>
      <t>Tabel 3.</t>
    </r>
    <r>
      <rPr>
        <sz val="8"/>
        <rFont val="Verdana"/>
        <family val="2"/>
        <scheme val="minor"/>
      </rPr>
      <t xml:space="preserve"> Verdeling kostprijsberekening Dagvlinders en sprinkhanen</t>
    </r>
  </si>
  <si>
    <r>
      <t xml:space="preserve">Notatie:
- </t>
    </r>
    <r>
      <rPr>
        <sz val="8.5"/>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5"/>
        <rFont val="Verdana"/>
        <family val="2"/>
        <scheme val="minor"/>
      </rPr>
      <t xml:space="preserve">
</t>
    </r>
    <r>
      <rPr>
        <i/>
        <sz val="8.5"/>
        <rFont val="Verdana"/>
        <family val="2"/>
        <scheme val="minor"/>
      </rPr>
      <t xml:space="preserve">Voorbeeld (cel K32)
</t>
    </r>
    <r>
      <rPr>
        <sz val="8.5"/>
        <rFont val="Verdana"/>
        <family val="2"/>
        <scheme val="minor"/>
      </rPr>
      <t xml:space="preserve">Inhoudelijke voorbereiding kost ongeveer 7 uur gedeeld door 250 ha komt dit uit op 2 minuut per hectare. </t>
    </r>
  </si>
  <si>
    <t>Wie</t>
  </si>
  <si>
    <t xml:space="preserve">Tijdens het Veldonderzoek stipt de Karteerbureau in 100*100 meter blokken de aanwezigheid van soorten. Dit zijn kwalificerende soorten voor het natuurnetwerk, soorten voor de habitatrichtlijn en rode lijstsoorten. Na afloop van de inventarisatie moet ten minste 90% van de hectareblokken 2 maal bezocht zijn. Een batdetector kan gebruikt worden tijdens het Veldonderzoek. </t>
  </si>
  <si>
    <t xml:space="preserve">Bij sommige beheertypen is naast het Veldonderzoek (activiteit 2) ook een aanvullende (vroege) voor- of najaarsronde nodig. Bij het extra Veldonderzoek wordt  specifiek gemonitord op bepaalde plekken en voor bepaalde soorten. De najaarsronde is noodzakelijk voor het monitoren van sprinkhanen, maar daarnaast niet verplicht. </t>
  </si>
  <si>
    <t xml:space="preserve">3.2 Monitoring bijzondere soorten </t>
  </si>
  <si>
    <t xml:space="preserve">Nadat het veld is bezocht worden de gegevens bewerkt en opgeleverd in het juiste (GIS)format en daarnaast beschreven in een rapport. Het rapport bestaat uit een omschrijving van het te monitoren gebied, aandachtspunten tijdens het veldwerk en een foutendiscussie. In sommige gevallen vraagt de NDFF (Nationale databank flora en fauna) om aanvullend bewijs van zeldzame soorten. </t>
  </si>
  <si>
    <t xml:space="preserve">Tijdens de monitoring begeleidt de TBO de uitvoerende partij. De TBO begeleidt de uitvoering van de veldwerkzaamheden en controleert de aangeleverde gegevens steekproefsgewijs.  </t>
  </si>
  <si>
    <r>
      <t xml:space="preserve">Figuur 1. </t>
    </r>
    <r>
      <rPr>
        <sz val="8"/>
        <rFont val="Verdana"/>
        <family val="2"/>
        <scheme val="minor"/>
      </rPr>
      <t>Verdeling kostprijsberekening Libellenkartering (SNL)</t>
    </r>
  </si>
  <si>
    <r>
      <rPr>
        <b/>
        <sz val="8"/>
        <rFont val="Verdana"/>
        <family val="2"/>
        <scheme val="minor"/>
      </rPr>
      <t>Tabel 3.</t>
    </r>
    <r>
      <rPr>
        <sz val="8"/>
        <rFont val="Verdana"/>
        <family val="2"/>
        <scheme val="minor"/>
      </rPr>
      <t xml:space="preserve"> Verdeling kostprijsberekening Libellenkartering</t>
    </r>
  </si>
  <si>
    <r>
      <t xml:space="preserve">Notatie:
- </t>
    </r>
    <r>
      <rPr>
        <sz val="8.5"/>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5"/>
        <rFont val="Verdana"/>
        <family val="2"/>
        <scheme val="minor"/>
      </rPr>
      <t xml:space="preserve">
</t>
    </r>
    <r>
      <rPr>
        <i/>
        <sz val="8.5"/>
        <rFont val="Verdana"/>
        <family val="2"/>
        <scheme val="minor"/>
      </rPr>
      <t xml:space="preserve">Voorbeeld (cel K32)
</t>
    </r>
    <r>
      <rPr>
        <sz val="8.5"/>
        <rFont val="Verdana"/>
        <family val="2"/>
        <scheme val="minor"/>
      </rPr>
      <t xml:space="preserve">Inhoudelijke voorbereiding kost ongeveer 4 uur gedeeld door 250 ha komt dit uit op 1 minuut per hectare. </t>
    </r>
  </si>
  <si>
    <t xml:space="preserve">TBO's </t>
  </si>
  <si>
    <t xml:space="preserve">0.2 Schrijven opdracht </t>
  </si>
  <si>
    <t xml:space="preserve">Bij sommige beheertypen is naast het veldonderzoek (activiteit 2) ook een aanvullende (vroege) voor- of najaarsronde nodig. Bij het extra Veldonderzoek wordt specifiek gemonitord op bepaalde plekken en voor bepaalde soorten. Voor- en najaarsronden zijn niet verplicht. 
</t>
  </si>
  <si>
    <t>Expertinschatting 50% van veldtijd</t>
  </si>
  <si>
    <t xml:space="preserve">3.2 monitoring bijzondere soorten </t>
  </si>
  <si>
    <t>Expertinschatting 100% van veldtijd</t>
  </si>
  <si>
    <r>
      <t xml:space="preserve">Notatie:
- </t>
    </r>
    <r>
      <rPr>
        <sz val="8"/>
        <rFont val="Verdana"/>
        <family val="2"/>
        <scheme val="minor"/>
      </rPr>
      <t xml:space="preserve">De tijdbesteding is in uren berekend en genoteerd als het aantal minuten per uur. 
- Bij een berekening met een vastgestelde eenheid wordt het aantal uur per gebied gedeeld door de gemiddelde gebiedsgrootte.   </t>
    </r>
    <r>
      <rPr>
        <b/>
        <sz val="8"/>
        <rFont val="Verdana"/>
        <family val="2"/>
        <scheme val="minor"/>
      </rPr>
      <t xml:space="preserve">
</t>
    </r>
    <r>
      <rPr>
        <i/>
        <sz val="8"/>
        <rFont val="Verdana"/>
        <family val="2"/>
        <scheme val="minor"/>
      </rPr>
      <t xml:space="preserve">Voorbeeld (cel K28)
</t>
    </r>
    <r>
      <rPr>
        <sz val="8"/>
        <rFont val="Verdana"/>
        <family val="2"/>
        <scheme val="minor"/>
      </rPr>
      <t xml:space="preserve">Inhoudelijke voorbereiding kost ongeveer 3,5 uur gedeeld door 250 ha komt dit uit op 1 minuut per hectare. </t>
    </r>
  </si>
  <si>
    <r>
      <t xml:space="preserve">Figuur 1. </t>
    </r>
    <r>
      <rPr>
        <sz val="8"/>
        <rFont val="Verdana"/>
        <family val="2"/>
        <scheme val="minor"/>
      </rPr>
      <t>Verdeling kostprijsberekening Bosstructuurkartering (SNL)</t>
    </r>
  </si>
  <si>
    <r>
      <rPr>
        <b/>
        <sz val="8"/>
        <rFont val="Verdana"/>
        <family val="2"/>
        <scheme val="minor"/>
      </rPr>
      <t>Tabel 3.</t>
    </r>
    <r>
      <rPr>
        <sz val="8"/>
        <rFont val="Verdana"/>
        <family val="2"/>
        <scheme val="minor"/>
      </rPr>
      <t xml:space="preserve"> Verdeling kostprijsberekening Bosstructuurkartering</t>
    </r>
  </si>
  <si>
    <t>SBB</t>
  </si>
  <si>
    <t>NM</t>
  </si>
  <si>
    <t>Veldwerk Karteerbureau</t>
  </si>
  <si>
    <t>Totale kosten SBB en NM</t>
  </si>
  <si>
    <t>Totale kosten Bosstructuurkartering</t>
  </si>
  <si>
    <t xml:space="preserve">Voor de inhoudelijke voorbereiding wordt door het karteerbureau het digitale platform ingericht (GIS) waarop veldkaarten worden gemaakt. Hierbij worden de beheervlakkenkaart, kaarten van de vorige kartering (voor zover beschikbaar), luchtfoto's en soms satellietdata gebruikt. Na gunning volgt een startbespreking met het karteerbureau en de TBO's. Er worden nadere afspraken gemaakt over de kartering (bijv. de te karteren structuurparameters) en over praktische zaken (bijv. toegang tot terreinen). In deze activiteit werken TBO's en karteerbureaus samen, daarom is voor beide afzonderlijk een tijdsbesteding opgenomen. Karteerbureaus maken de boslaag gereed voor de kartering. </t>
  </si>
  <si>
    <r>
      <rPr>
        <b/>
        <sz val="8"/>
        <color theme="1"/>
        <rFont val="Verdana"/>
        <family val="2"/>
        <scheme val="minor"/>
      </rPr>
      <t>Meetprotocol Natuurmonumenten:</t>
    </r>
    <r>
      <rPr>
        <sz val="8"/>
        <color theme="1"/>
        <rFont val="Verdana"/>
        <family val="2"/>
        <scheme val="minor"/>
      </rPr>
      <t xml:space="preserve"> het karteerbureau kijkt naar een aantal vooraf afgestemde elementen. Bijvoorbeeld: welke bomen inheems/ uitheems zijn, leeftijd bomen, aantal dode bomen et cetera. Dit wordt genoteerd in een Excel. De uitvoering van de kartering verschilt. Sommige partijen doen het onderzoek steekproefsgewijs, andere vlakdekkend. 
</t>
    </r>
    <r>
      <rPr>
        <b/>
        <sz val="8"/>
        <color theme="1"/>
        <rFont val="Verdana"/>
        <family val="2"/>
        <scheme val="minor"/>
      </rPr>
      <t xml:space="preserve">Meetprotocol Staatsbosbeheer: </t>
    </r>
    <r>
      <rPr>
        <sz val="8"/>
        <color theme="1"/>
        <rFont val="Verdana"/>
        <family val="2"/>
        <scheme val="minor"/>
      </rPr>
      <t xml:space="preserve">karteerbureaus nemen een steekproef en klemmen alle levende en dode staande bomen van &gt; 5 cm dik binnen een variabele straal; activiteiten zijn dan: het opnemen van de struiklaag, meten liggend dood hout, vastleggen boomhoogtes etc. </t>
    </r>
  </si>
  <si>
    <t xml:space="preserve">De gegevens uit de bosstructuurkartering worden omgerekend naar de SNL-eisen en gekoppeld aan perceelnummers. Daarnaast worden de gegevens beschreven in een rapport. </t>
  </si>
  <si>
    <t>3.1 Bewerken en opleveren data</t>
  </si>
  <si>
    <t>3.2 Schrijven rapport</t>
  </si>
  <si>
    <t xml:space="preserve">4.1 Begeleiding TBO's </t>
  </si>
  <si>
    <t xml:space="preserve">4.2 Controle gegevens door TBO's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</si>
</sst>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164" formatCode="&quot;€&quot;\ #,##0.00"/>
    <numFmt numFmtId="165" formatCode="#\ ??/60"/>
  </numFmts>
  <fonts count="41" x14ac:knownFonts="1">
    <font>
      <sz val="11"/>
      <color theme="1"/>
      <name val="Verdana"/>
      <family val="2"/>
      <scheme val="minor"/>
    </font>
    <font>
      <sz val="8"/>
      <color theme="1"/>
      <name val="Verdana"/>
      <family val="2"/>
      <scheme val="minor"/>
    </font>
    <font>
      <sz val="8"/>
      <color theme="0"/>
      <name val="Verdana"/>
      <family val="2"/>
      <scheme val="minor"/>
    </font>
    <font>
      <b/>
      <sz val="10"/>
      <color theme="0"/>
      <name val="Verdana"/>
      <family val="2"/>
      <scheme val="minor"/>
    </font>
    <font>
      <b/>
      <sz val="8"/>
      <color theme="1"/>
      <name val="Verdana"/>
      <family val="2"/>
      <scheme val="minor"/>
    </font>
    <font>
      <sz val="8"/>
      <name val="Verdana"/>
      <family val="2"/>
      <scheme val="minor"/>
    </font>
    <font>
      <sz val="10"/>
      <color theme="1"/>
      <name val="Verdana"/>
      <family val="2"/>
      <scheme val="minor"/>
    </font>
    <font>
      <b/>
      <sz val="14"/>
      <color theme="0"/>
      <name val="Verdana"/>
      <family val="2"/>
      <scheme val="minor"/>
    </font>
    <font>
      <b/>
      <sz val="8"/>
      <color theme="0"/>
      <name val="Verdana"/>
      <family val="2"/>
      <scheme val="minor"/>
    </font>
    <font>
      <b/>
      <sz val="14"/>
      <name val="Verdana"/>
      <family val="2"/>
      <scheme val="minor"/>
    </font>
    <font>
      <b/>
      <sz val="8"/>
      <name val="Verdana"/>
      <family val="2"/>
      <scheme val="minor"/>
    </font>
    <font>
      <sz val="8.5"/>
      <name val="Verdana"/>
      <family val="2"/>
      <scheme val="minor"/>
    </font>
    <font>
      <b/>
      <sz val="8.5"/>
      <name val="Verdana"/>
      <family val="2"/>
      <scheme val="minor"/>
    </font>
    <font>
      <u/>
      <sz val="8.5"/>
      <name val="Verdana"/>
      <family val="2"/>
      <scheme val="minor"/>
    </font>
    <font>
      <sz val="11"/>
      <color theme="1"/>
      <name val="Verdana"/>
      <family val="2"/>
      <scheme val="minor"/>
    </font>
    <font>
      <b/>
      <sz val="14"/>
      <color theme="1"/>
      <name val="Verdana"/>
      <family val="2"/>
      <scheme val="minor"/>
    </font>
    <font>
      <sz val="7"/>
      <name val="Verdana"/>
      <family val="2"/>
      <scheme val="minor"/>
    </font>
    <font>
      <b/>
      <sz val="7"/>
      <color theme="0"/>
      <name val="Verdana"/>
      <family val="2"/>
      <scheme val="minor"/>
    </font>
    <font>
      <sz val="7"/>
      <color theme="0"/>
      <name val="Verdana"/>
      <family val="2"/>
      <scheme val="minor"/>
    </font>
    <font>
      <b/>
      <sz val="7"/>
      <name val="Verdana"/>
      <family val="2"/>
      <scheme val="minor"/>
    </font>
    <font>
      <b/>
      <sz val="9"/>
      <color theme="0"/>
      <name val="Verdana"/>
      <family val="2"/>
      <scheme val="minor"/>
    </font>
    <font>
      <sz val="9"/>
      <color theme="1"/>
      <name val="Verdana"/>
      <family val="2"/>
      <scheme val="minor"/>
    </font>
    <font>
      <sz val="9"/>
      <name val="Verdana"/>
      <family val="2"/>
      <scheme val="minor"/>
    </font>
    <font>
      <b/>
      <sz val="12"/>
      <color theme="0"/>
      <name val="Verdana"/>
      <family val="2"/>
      <scheme val="minor"/>
    </font>
    <font>
      <sz val="7"/>
      <color theme="1"/>
      <name val="Verdana"/>
      <family val="2"/>
      <scheme val="minor"/>
    </font>
    <font>
      <sz val="7"/>
      <color theme="3"/>
      <name val="Verdana"/>
      <family val="2"/>
      <scheme val="minor"/>
    </font>
    <font>
      <sz val="7"/>
      <color theme="1"/>
      <name val="Calibri"/>
      <family val="2"/>
    </font>
    <font>
      <sz val="7"/>
      <color theme="1"/>
      <name val="Verdana"/>
      <family val="2"/>
    </font>
    <font>
      <b/>
      <sz val="7"/>
      <color theme="1"/>
      <name val="Verdana"/>
      <family val="2"/>
      <scheme val="minor"/>
    </font>
    <font>
      <b/>
      <sz val="7"/>
      <color theme="0"/>
      <name val="Calibri"/>
      <family val="2"/>
    </font>
    <font>
      <sz val="14"/>
      <color theme="1"/>
      <name val="Verdana"/>
      <family val="2"/>
      <scheme val="minor"/>
    </font>
    <font>
      <sz val="14"/>
      <color theme="0"/>
      <name val="Verdana"/>
      <family val="2"/>
      <scheme val="minor"/>
    </font>
    <font>
      <sz val="14"/>
      <color theme="4"/>
      <name val="Verdana"/>
      <family val="2"/>
      <scheme val="minor"/>
    </font>
    <font>
      <sz val="7"/>
      <color theme="1" tint="0.499984740745262"/>
      <name val="Verdana"/>
      <family val="2"/>
      <scheme val="minor"/>
    </font>
    <font>
      <i/>
      <sz val="8.5"/>
      <name val="Verdana"/>
      <family val="2"/>
      <scheme val="minor"/>
    </font>
    <font>
      <i/>
      <sz val="8"/>
      <name val="Verdana"/>
      <family val="2"/>
      <scheme val="minor"/>
    </font>
    <font>
      <b/>
      <sz val="7"/>
      <color rgb="FFFFFFFF"/>
      <name val="Verdana"/>
      <family val="2"/>
      <scheme val="minor"/>
    </font>
    <font>
      <sz val="7"/>
      <color rgb="FF000000"/>
      <name val="Verdana"/>
      <family val="2"/>
      <scheme val="minor"/>
    </font>
    <font>
      <b/>
      <sz val="7"/>
      <color rgb="FF000000"/>
      <name val="Verdana"/>
      <family val="2"/>
      <scheme val="minor"/>
    </font>
    <font>
      <i/>
      <sz val="7"/>
      <color rgb="FF000000"/>
      <name val="Verdana"/>
      <family val="2"/>
      <scheme val="minor"/>
    </font>
    <font>
      <b/>
      <sz val="7"/>
      <color rgb="FF000000"/>
      <name val="Verdana"/>
    </font>
  </fonts>
  <fills count="12">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8"/>
        <bgColor indexed="64"/>
      </patternFill>
    </fill>
    <fill>
      <patternFill patternType="solid">
        <fgColor theme="2"/>
        <bgColor indexed="64"/>
      </patternFill>
    </fill>
    <fill>
      <patternFill patternType="solid">
        <fgColor theme="8" tint="0.79998168889431442"/>
        <bgColor indexed="64"/>
      </patternFill>
    </fill>
    <fill>
      <patternFill patternType="solid">
        <fgColor theme="6"/>
        <bgColor indexed="64"/>
      </patternFill>
    </fill>
    <fill>
      <patternFill patternType="solid">
        <fgColor theme="7"/>
        <bgColor indexed="64"/>
      </patternFill>
    </fill>
    <fill>
      <patternFill patternType="solid">
        <fgColor rgb="FF00B3E7"/>
        <bgColor indexed="64"/>
      </patternFill>
    </fill>
    <fill>
      <patternFill patternType="solid">
        <fgColor rgb="FFFFFF00"/>
        <bgColor indexed="64"/>
      </patternFill>
    </fill>
  </fills>
  <borders count="86">
    <border>
      <left/>
      <right/>
      <top/>
      <bottom/>
      <diagonal/>
    </border>
    <border>
      <left style="thin">
        <color theme="5"/>
      </left>
      <right/>
      <top style="thin">
        <color theme="5"/>
      </top>
      <bottom/>
      <diagonal/>
    </border>
    <border>
      <left/>
      <right style="thin">
        <color theme="5"/>
      </right>
      <top style="thin">
        <color theme="5"/>
      </top>
      <bottom/>
      <diagonal/>
    </border>
    <border>
      <left style="thin">
        <color theme="5"/>
      </left>
      <right/>
      <top/>
      <bottom/>
      <diagonal/>
    </border>
    <border>
      <left/>
      <right style="thin">
        <color theme="5"/>
      </right>
      <top/>
      <bottom/>
      <diagonal/>
    </border>
    <border>
      <left style="thin">
        <color theme="5"/>
      </left>
      <right/>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top style="thin">
        <color theme="5"/>
      </top>
      <bottom/>
      <diagonal/>
    </border>
    <border>
      <left/>
      <right/>
      <top/>
      <bottom style="thin">
        <color theme="5"/>
      </bottom>
      <diagonal/>
    </border>
    <border>
      <left style="thin">
        <color theme="5"/>
      </left>
      <right style="thin">
        <color theme="5"/>
      </right>
      <top/>
      <bottom/>
      <diagonal/>
    </border>
    <border>
      <left style="thin">
        <color theme="5"/>
      </left>
      <right style="thin">
        <color theme="5"/>
      </right>
      <top style="thin">
        <color theme="5"/>
      </top>
      <bottom style="thin">
        <color theme="5"/>
      </bottom>
      <diagonal/>
    </border>
    <border>
      <left/>
      <right/>
      <top style="thin">
        <color theme="4"/>
      </top>
      <bottom/>
      <diagonal/>
    </border>
    <border>
      <left/>
      <right/>
      <top/>
      <bottom style="thin">
        <color theme="4"/>
      </bottom>
      <diagonal/>
    </border>
    <border>
      <left/>
      <right/>
      <top style="thin">
        <color theme="4"/>
      </top>
      <bottom style="thin">
        <color theme="4"/>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right/>
      <top style="thin">
        <color theme="9"/>
      </top>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style="thin">
        <color theme="4"/>
      </right>
      <top style="thin">
        <color theme="4"/>
      </top>
      <bottom/>
      <diagonal/>
    </border>
    <border>
      <left/>
      <right style="thin">
        <color theme="4"/>
      </right>
      <top/>
      <bottom/>
      <diagonal/>
    </border>
    <border>
      <left/>
      <right style="thin">
        <color theme="4"/>
      </right>
      <top/>
      <bottom style="thin">
        <color theme="4"/>
      </bottom>
      <diagonal/>
    </border>
    <border>
      <left/>
      <right/>
      <top/>
      <bottom style="thin">
        <color theme="8"/>
      </bottom>
      <diagonal/>
    </border>
    <border>
      <left/>
      <right/>
      <top style="thin">
        <color theme="9"/>
      </top>
      <bottom style="thin">
        <color theme="9"/>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8"/>
      </left>
      <right style="thin">
        <color theme="8"/>
      </right>
      <top style="thin">
        <color theme="8"/>
      </top>
      <bottom/>
      <diagonal/>
    </border>
    <border>
      <left style="thin">
        <color theme="4"/>
      </left>
      <right/>
      <top style="thin">
        <color theme="4"/>
      </top>
      <bottom/>
      <diagonal/>
    </border>
    <border>
      <left style="thin">
        <color theme="4"/>
      </left>
      <right/>
      <top/>
      <bottom/>
      <diagonal/>
    </border>
    <border>
      <left style="thin">
        <color theme="4"/>
      </left>
      <right/>
      <top/>
      <bottom style="thin">
        <color theme="4"/>
      </bottom>
      <diagonal/>
    </border>
    <border>
      <left/>
      <right/>
      <top style="thin">
        <color theme="6"/>
      </top>
      <bottom/>
      <diagonal/>
    </border>
    <border>
      <left/>
      <right style="thin">
        <color theme="6"/>
      </right>
      <top style="thin">
        <color theme="6"/>
      </top>
      <bottom/>
      <diagonal/>
    </border>
    <border>
      <left/>
      <right style="thin">
        <color theme="6"/>
      </right>
      <top/>
      <bottom/>
      <diagonal/>
    </border>
    <border>
      <left/>
      <right style="thin">
        <color theme="6"/>
      </right>
      <top style="thin">
        <color theme="6"/>
      </top>
      <bottom style="thin">
        <color theme="6"/>
      </bottom>
      <diagonal/>
    </border>
    <border>
      <left/>
      <right/>
      <top style="thin">
        <color theme="6"/>
      </top>
      <bottom style="thin">
        <color theme="6"/>
      </bottom>
      <diagonal/>
    </border>
    <border>
      <left style="thin">
        <color theme="6"/>
      </left>
      <right/>
      <top style="thin">
        <color theme="6"/>
      </top>
      <bottom style="thin">
        <color theme="6"/>
      </bottom>
      <diagonal/>
    </border>
    <border>
      <left style="thin">
        <color theme="6"/>
      </left>
      <right/>
      <top style="thin">
        <color theme="6"/>
      </top>
      <bottom/>
      <diagonal/>
    </border>
    <border>
      <left style="thin">
        <color theme="6"/>
      </left>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9"/>
      </left>
      <right style="thin">
        <color theme="8"/>
      </right>
      <top/>
      <bottom/>
      <diagonal/>
    </border>
    <border>
      <left style="thin">
        <color theme="9"/>
      </left>
      <right style="thin">
        <color theme="9"/>
      </right>
      <top/>
      <bottom style="thin">
        <color theme="8"/>
      </bottom>
      <diagonal/>
    </border>
    <border>
      <left style="thin">
        <color theme="9"/>
      </left>
      <right style="thin">
        <color theme="8"/>
      </right>
      <top/>
      <bottom style="thin">
        <color theme="8"/>
      </bottom>
      <diagonal/>
    </border>
    <border>
      <left style="thin">
        <color theme="4"/>
      </left>
      <right/>
      <top style="dashDotDot">
        <color theme="4"/>
      </top>
      <bottom/>
      <diagonal/>
    </border>
    <border>
      <left/>
      <right/>
      <top style="dashDotDot">
        <color theme="4"/>
      </top>
      <bottom/>
      <diagonal/>
    </border>
    <border>
      <left/>
      <right style="thin">
        <color theme="4"/>
      </right>
      <top style="dashDotDot">
        <color theme="4"/>
      </top>
      <bottom/>
      <diagonal/>
    </border>
    <border>
      <left style="thin">
        <color theme="4"/>
      </left>
      <right/>
      <top/>
      <bottom style="dashDotDot">
        <color theme="4"/>
      </bottom>
      <diagonal/>
    </border>
    <border>
      <left/>
      <right/>
      <top/>
      <bottom style="dashDotDot">
        <color theme="4"/>
      </bottom>
      <diagonal/>
    </border>
    <border>
      <left/>
      <right style="thin">
        <color theme="4"/>
      </right>
      <top/>
      <bottom style="dashDotDot">
        <color theme="4"/>
      </bottom>
      <diagonal/>
    </border>
    <border>
      <left style="thin">
        <color theme="6"/>
      </left>
      <right style="thin">
        <color theme="6"/>
      </right>
      <top style="thin">
        <color theme="6"/>
      </top>
      <bottom/>
      <diagonal/>
    </border>
    <border>
      <left style="thin">
        <color theme="6"/>
      </left>
      <right style="thin">
        <color theme="6"/>
      </right>
      <top/>
      <bottom style="thin">
        <color theme="6"/>
      </bottom>
      <diagonal/>
    </border>
    <border>
      <left style="thin">
        <color theme="4"/>
      </left>
      <right style="thin">
        <color theme="5"/>
      </right>
      <top style="thin">
        <color theme="4"/>
      </top>
      <bottom/>
      <diagonal/>
    </border>
    <border>
      <left style="thin">
        <color theme="4"/>
      </left>
      <right style="thin">
        <color theme="5"/>
      </right>
      <top/>
      <bottom/>
      <diagonal/>
    </border>
    <border>
      <left style="thin">
        <color theme="4"/>
      </left>
      <right style="thin">
        <color theme="5"/>
      </right>
      <top/>
      <bottom style="thin">
        <color theme="4"/>
      </bottom>
      <diagonal/>
    </border>
    <border>
      <left/>
      <right style="thin">
        <color theme="5"/>
      </right>
      <top style="thin">
        <color theme="4"/>
      </top>
      <bottom/>
      <diagonal/>
    </border>
    <border>
      <left/>
      <right style="thin">
        <color theme="5"/>
      </right>
      <top/>
      <bottom style="thin">
        <color theme="4"/>
      </bottom>
      <diagonal/>
    </border>
    <border>
      <left style="thin">
        <color theme="9"/>
      </left>
      <right/>
      <top/>
      <bottom style="thin">
        <color theme="9"/>
      </bottom>
      <diagonal/>
    </border>
    <border>
      <left/>
      <right style="thin">
        <color theme="9"/>
      </right>
      <top/>
      <bottom style="thin">
        <color theme="9"/>
      </bottom>
      <diagonal/>
    </border>
    <border>
      <left/>
      <right/>
      <top/>
      <bottom style="thin">
        <color theme="9"/>
      </bottom>
      <diagonal/>
    </border>
    <border>
      <left style="thin">
        <color theme="4"/>
      </left>
      <right/>
      <top style="thin">
        <color theme="5"/>
      </top>
      <bottom style="thin">
        <color theme="5"/>
      </bottom>
      <diagonal/>
    </border>
    <border>
      <left/>
      <right style="thin">
        <color theme="4"/>
      </right>
      <top style="thin">
        <color theme="5"/>
      </top>
      <bottom style="thin">
        <color theme="5"/>
      </bottom>
      <diagonal/>
    </border>
  </borders>
  <cellStyleXfs count="3">
    <xf numFmtId="0" fontId="0" fillId="0" borderId="0"/>
    <xf numFmtId="44" fontId="14" fillId="0" borderId="0" applyFont="0" applyFill="0" applyBorder="0" applyAlignment="0" applyProtection="0"/>
    <xf numFmtId="9" fontId="14" fillId="0" borderId="0" applyFont="0" applyFill="0" applyBorder="0" applyAlignment="0" applyProtection="0"/>
  </cellStyleXfs>
  <cellXfs count="940">
    <xf numFmtId="0" fontId="0" fillId="0" borderId="0" xfId="0"/>
    <xf numFmtId="0" fontId="1" fillId="0" borderId="0" xfId="0" applyFont="1"/>
    <xf numFmtId="0" fontId="1" fillId="3" borderId="3" xfId="0" applyFont="1" applyFill="1" applyBorder="1"/>
    <xf numFmtId="0" fontId="1" fillId="3" borderId="0" xfId="0" applyFont="1" applyFill="1"/>
    <xf numFmtId="0" fontId="6" fillId="3" borderId="0" xfId="0" applyFont="1" applyFill="1"/>
    <xf numFmtId="0" fontId="1" fillId="3" borderId="2" xfId="0" applyFont="1" applyFill="1" applyBorder="1"/>
    <xf numFmtId="0" fontId="1" fillId="3" borderId="4" xfId="0" applyFont="1" applyFill="1" applyBorder="1"/>
    <xf numFmtId="0" fontId="1" fillId="3" borderId="6" xfId="0" applyFont="1" applyFill="1" applyBorder="1"/>
    <xf numFmtId="0" fontId="1" fillId="3" borderId="0" xfId="0" applyFont="1" applyFill="1" applyAlignment="1">
      <alignment horizontal="center"/>
    </xf>
    <xf numFmtId="0" fontId="6" fillId="3" borderId="0" xfId="0" applyFont="1" applyFill="1" applyAlignment="1">
      <alignment vertical="top"/>
    </xf>
    <xf numFmtId="0" fontId="1" fillId="2" borderId="1" xfId="0" applyFont="1" applyFill="1" applyBorder="1"/>
    <xf numFmtId="0" fontId="1" fillId="2" borderId="9" xfId="0" applyFont="1" applyFill="1" applyBorder="1"/>
    <xf numFmtId="0" fontId="1" fillId="2" borderId="5" xfId="0" applyFont="1" applyFill="1" applyBorder="1"/>
    <xf numFmtId="0" fontId="1" fillId="2" borderId="10" xfId="0" applyFont="1" applyFill="1" applyBorder="1"/>
    <xf numFmtId="0" fontId="1" fillId="2" borderId="9" xfId="0" applyFont="1" applyFill="1" applyBorder="1" applyAlignment="1">
      <alignment horizont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 fillId="2" borderId="0" xfId="0" applyFont="1" applyFill="1" applyAlignment="1">
      <alignment horizontal="center"/>
    </xf>
    <xf numFmtId="0" fontId="1" fillId="3" borderId="9" xfId="0" applyFont="1" applyFill="1" applyBorder="1"/>
    <xf numFmtId="0" fontId="1" fillId="3" borderId="10" xfId="0" applyFont="1" applyFill="1" applyBorder="1"/>
    <xf numFmtId="0" fontId="1" fillId="2" borderId="0" xfId="0" applyFont="1" applyFill="1"/>
    <xf numFmtId="0" fontId="1" fillId="0" borderId="3" xfId="0" applyFont="1" applyBorder="1" applyAlignment="1">
      <alignment vertical="center"/>
    </xf>
    <xf numFmtId="0" fontId="1" fillId="4" borderId="0" xfId="0" applyFont="1" applyFill="1" applyAlignment="1">
      <alignment vertical="center" wrapText="1"/>
    </xf>
    <xf numFmtId="0" fontId="1" fillId="4" borderId="4" xfId="0" applyFont="1" applyFill="1" applyBorder="1" applyAlignment="1">
      <alignment vertical="center" wrapText="1"/>
    </xf>
    <xf numFmtId="0" fontId="1" fillId="4" borderId="0" xfId="0" applyFont="1" applyFill="1"/>
    <xf numFmtId="0" fontId="1" fillId="4" borderId="4" xfId="0" applyFont="1" applyFill="1" applyBorder="1" applyAlignment="1">
      <alignment vertical="center"/>
    </xf>
    <xf numFmtId="0" fontId="1" fillId="4" borderId="3" xfId="0" applyFont="1" applyFill="1" applyBorder="1" applyAlignment="1">
      <alignment vertical="center"/>
    </xf>
    <xf numFmtId="0" fontId="1" fillId="4" borderId="0" xfId="0" applyFont="1" applyFill="1" applyAlignment="1">
      <alignment vertical="center"/>
    </xf>
    <xf numFmtId="0" fontId="1" fillId="4" borderId="5" xfId="0" applyFont="1" applyFill="1" applyBorder="1" applyAlignment="1">
      <alignment vertical="center"/>
    </xf>
    <xf numFmtId="0" fontId="1" fillId="4" borderId="10" xfId="0" applyFont="1" applyFill="1" applyBorder="1" applyAlignment="1">
      <alignment vertical="center"/>
    </xf>
    <xf numFmtId="0" fontId="1" fillId="4" borderId="6" xfId="0" applyFont="1" applyFill="1" applyBorder="1" applyAlignment="1">
      <alignment vertical="center"/>
    </xf>
    <xf numFmtId="0" fontId="1" fillId="0" borderId="5" xfId="0" applyFont="1" applyBorder="1" applyAlignment="1">
      <alignment vertical="center"/>
    </xf>
    <xf numFmtId="0" fontId="1" fillId="4" borderId="1" xfId="0" applyFont="1" applyFill="1" applyBorder="1" applyAlignment="1">
      <alignment vertical="center" wrapText="1"/>
    </xf>
    <xf numFmtId="0" fontId="1" fillId="0" borderId="1"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horizontal="center" vertical="center"/>
    </xf>
    <xf numFmtId="0" fontId="1" fillId="4" borderId="1" xfId="0" applyFont="1" applyFill="1" applyBorder="1" applyAlignment="1">
      <alignment vertical="center"/>
    </xf>
    <xf numFmtId="0" fontId="1" fillId="4" borderId="11" xfId="0" applyFont="1" applyFill="1" applyBorder="1" applyAlignment="1">
      <alignment horizontal="center" vertical="top" wrapText="1"/>
    </xf>
    <xf numFmtId="0" fontId="1" fillId="4" borderId="11" xfId="0" applyFont="1" applyFill="1" applyBorder="1" applyAlignment="1">
      <alignment horizontal="center"/>
    </xf>
    <xf numFmtId="0" fontId="1" fillId="4" borderId="8" xfId="0" applyFont="1" applyFill="1" applyBorder="1" applyAlignment="1">
      <alignment horizontal="center"/>
    </xf>
    <xf numFmtId="0" fontId="1" fillId="2" borderId="4" xfId="0" applyFont="1" applyFill="1" applyBorder="1" applyAlignment="1">
      <alignment horizontal="center"/>
    </xf>
    <xf numFmtId="0" fontId="1" fillId="0" borderId="6" xfId="0" applyFont="1" applyBorder="1" applyAlignment="1">
      <alignment vertical="center"/>
    </xf>
    <xf numFmtId="0" fontId="1" fillId="4" borderId="2" xfId="0" applyFont="1" applyFill="1" applyBorder="1" applyAlignment="1">
      <alignment vertical="center" wrapText="1"/>
    </xf>
    <xf numFmtId="0" fontId="1" fillId="4" borderId="2" xfId="0" applyFont="1" applyFill="1" applyBorder="1" applyAlignment="1">
      <alignment vertical="center"/>
    </xf>
    <xf numFmtId="0" fontId="1" fillId="4" borderId="0" xfId="0" applyFont="1" applyFill="1" applyAlignment="1">
      <alignment horizontal="center" vertical="center"/>
    </xf>
    <xf numFmtId="0" fontId="1" fillId="0" borderId="0" xfId="0" applyFont="1" applyAlignment="1">
      <alignment horizontal="center" vertical="center" wrapText="1"/>
    </xf>
    <xf numFmtId="0" fontId="1" fillId="4" borderId="0" xfId="0" applyFont="1" applyFill="1" applyAlignment="1">
      <alignment horizontal="center" vertical="center" wrapText="1"/>
    </xf>
    <xf numFmtId="0" fontId="1" fillId="4" borderId="9"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10" xfId="0" applyFont="1" applyFill="1" applyBorder="1"/>
    <xf numFmtId="0" fontId="1" fillId="4" borderId="7" xfId="0" applyFont="1" applyFill="1" applyBorder="1"/>
    <xf numFmtId="0" fontId="1" fillId="4" borderId="11" xfId="0" applyFont="1" applyFill="1" applyBorder="1" applyAlignment="1">
      <alignment horizontal="left" vertical="center"/>
    </xf>
    <xf numFmtId="0" fontId="3" fillId="2" borderId="12"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0" borderId="2" xfId="0" applyFont="1" applyBorder="1" applyAlignment="1">
      <alignment vertical="center" wrapText="1"/>
    </xf>
    <xf numFmtId="0" fontId="1" fillId="4" borderId="0" xfId="0" applyFont="1" applyFill="1" applyAlignment="1">
      <alignment wrapText="1"/>
    </xf>
    <xf numFmtId="0" fontId="7" fillId="3" borderId="0" xfId="0" applyFont="1" applyFill="1" applyAlignment="1">
      <alignment horizontal="left" vertical="center"/>
    </xf>
    <xf numFmtId="0" fontId="2" fillId="3" borderId="0" xfId="0" applyFont="1" applyFill="1"/>
    <xf numFmtId="0" fontId="7" fillId="3" borderId="0" xfId="0" applyFont="1" applyFill="1" applyAlignment="1">
      <alignment vertical="center"/>
    </xf>
    <xf numFmtId="0" fontId="2" fillId="3" borderId="0" xfId="0" applyFont="1" applyFill="1" applyAlignment="1">
      <alignment horizontal="center"/>
    </xf>
    <xf numFmtId="0" fontId="9" fillId="3" borderId="0" xfId="0" applyFont="1" applyFill="1" applyAlignment="1">
      <alignment horizontal="left" vertical="center"/>
    </xf>
    <xf numFmtId="0" fontId="9" fillId="3" borderId="0" xfId="0" applyFont="1" applyFill="1" applyAlignment="1">
      <alignment vertical="center"/>
    </xf>
    <xf numFmtId="0" fontId="1" fillId="0" borderId="11" xfId="0" applyFont="1" applyBorder="1" applyAlignment="1">
      <alignment horizontal="center" vertical="center" wrapText="1"/>
    </xf>
    <xf numFmtId="0" fontId="1" fillId="4" borderId="11" xfId="0" applyFont="1" applyFill="1" applyBorder="1" applyAlignment="1">
      <alignment horizontal="center" vertical="center" wrapText="1"/>
    </xf>
    <xf numFmtId="0" fontId="5" fillId="0" borderId="7" xfId="0" applyFont="1" applyBorder="1" applyAlignment="1">
      <alignment horizontal="center" vertical="center"/>
    </xf>
    <xf numFmtId="0" fontId="1" fillId="0" borderId="8" xfId="0" applyFont="1" applyBorder="1" applyAlignment="1">
      <alignment horizontal="center" vertical="center" wrapText="1"/>
    </xf>
    <xf numFmtId="0" fontId="5" fillId="4" borderId="1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1" fillId="0" borderId="8" xfId="0" applyFont="1" applyBorder="1" applyAlignment="1">
      <alignment horizontal="center" vertical="center"/>
    </xf>
    <xf numFmtId="0" fontId="5" fillId="4" borderId="7" xfId="0" applyFont="1" applyFill="1" applyBorder="1" applyAlignment="1">
      <alignment horizontal="center" vertical="center" wrapText="1"/>
    </xf>
    <xf numFmtId="0" fontId="1" fillId="4" borderId="8" xfId="0" applyFont="1" applyFill="1" applyBorder="1" applyAlignment="1">
      <alignment horizontal="center" vertical="center"/>
    </xf>
    <xf numFmtId="0" fontId="5" fillId="4" borderId="8" xfId="0" applyFont="1" applyFill="1" applyBorder="1" applyAlignment="1">
      <alignment horizontal="center" vertical="center"/>
    </xf>
    <xf numFmtId="0" fontId="1" fillId="3" borderId="1" xfId="0" applyFont="1" applyFill="1" applyBorder="1" applyAlignment="1">
      <alignment vertical="center"/>
    </xf>
    <xf numFmtId="0" fontId="1" fillId="0" borderId="0" xfId="0" applyFont="1" applyAlignment="1">
      <alignment horizontal="center" vertical="center"/>
    </xf>
    <xf numFmtId="0" fontId="10" fillId="3" borderId="0" xfId="0" applyFont="1" applyFill="1" applyAlignment="1">
      <alignment vertical="center"/>
    </xf>
    <xf numFmtId="0" fontId="5" fillId="3" borderId="0" xfId="0" applyFont="1" applyFill="1" applyAlignment="1">
      <alignment vertical="center"/>
    </xf>
    <xf numFmtId="0" fontId="0" fillId="3" borderId="0" xfId="0" applyFill="1"/>
    <xf numFmtId="0" fontId="2" fillId="3" borderId="0" xfId="0" applyFont="1" applyFill="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3" borderId="0" xfId="0" applyFont="1" applyFill="1" applyAlignment="1">
      <alignment horizontal="center" vertical="center"/>
    </xf>
    <xf numFmtId="0" fontId="10" fillId="3" borderId="26" xfId="0" applyFont="1" applyFill="1" applyBorder="1" applyAlignment="1">
      <alignment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0" borderId="0" xfId="0" applyFont="1" applyAlignment="1">
      <alignment horizontal="left" vertical="center" wrapText="1"/>
    </xf>
    <xf numFmtId="0" fontId="1" fillId="2" borderId="9" xfId="0" applyFont="1" applyFill="1" applyBorder="1" applyAlignment="1">
      <alignment horizontal="left" vertical="center"/>
    </xf>
    <xf numFmtId="0" fontId="5" fillId="3" borderId="0" xfId="0" applyFont="1" applyFill="1" applyAlignment="1">
      <alignment horizontal="center" vertical="center"/>
    </xf>
    <xf numFmtId="0" fontId="1" fillId="2" borderId="9"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4" fillId="3" borderId="0" xfId="0" applyFont="1" applyFill="1"/>
    <xf numFmtId="0" fontId="5" fillId="4" borderId="7" xfId="0" applyFont="1" applyFill="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1" fillId="0" borderId="10" xfId="0" applyFont="1" applyBorder="1" applyAlignment="1">
      <alignment horizontal="center" vertical="center" wrapText="1"/>
    </xf>
    <xf numFmtId="0" fontId="5" fillId="0" borderId="8" xfId="0" applyFont="1" applyBorder="1" applyAlignment="1">
      <alignment horizontal="center" vertical="center"/>
    </xf>
    <xf numFmtId="0" fontId="2" fillId="5" borderId="30" xfId="0" applyFont="1" applyFill="1" applyBorder="1" applyAlignment="1">
      <alignment horizontal="center" vertical="center"/>
    </xf>
    <xf numFmtId="0" fontId="2" fillId="5" borderId="31" xfId="0" applyFont="1" applyFill="1" applyBorder="1" applyAlignment="1">
      <alignment horizontal="center" vertical="center"/>
    </xf>
    <xf numFmtId="0" fontId="1" fillId="3" borderId="0" xfId="0" applyFont="1" applyFill="1" applyAlignment="1">
      <alignment horizontal="left" vertical="top" wrapText="1"/>
    </xf>
    <xf numFmtId="0" fontId="1" fillId="2" borderId="0" xfId="0" applyFont="1" applyFill="1" applyAlignment="1">
      <alignment vertical="center"/>
    </xf>
    <xf numFmtId="0" fontId="1" fillId="2" borderId="10" xfId="0" applyFont="1" applyFill="1" applyBorder="1" applyAlignment="1">
      <alignment vertical="center"/>
    </xf>
    <xf numFmtId="0" fontId="1" fillId="3" borderId="0" xfId="0" applyFont="1" applyFill="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2" xfId="0" applyFont="1" applyBorder="1" applyAlignment="1">
      <alignment horizontal="center" vertical="center" wrapText="1"/>
    </xf>
    <xf numFmtId="0" fontId="2" fillId="3" borderId="0" xfId="0" applyFont="1" applyFill="1" applyAlignment="1">
      <alignment horizontal="center" wrapText="1"/>
    </xf>
    <xf numFmtId="0" fontId="1" fillId="2" borderId="0" xfId="0" applyFont="1" applyFill="1" applyAlignment="1">
      <alignment horizontal="center" wrapText="1"/>
    </xf>
    <xf numFmtId="0" fontId="1" fillId="2" borderId="10" xfId="0" applyFont="1" applyFill="1" applyBorder="1" applyAlignment="1">
      <alignment horizontal="center" wrapText="1"/>
    </xf>
    <xf numFmtId="0" fontId="1" fillId="3" borderId="0" xfId="0" applyFont="1" applyFill="1" applyAlignment="1">
      <alignment horizontal="center" wrapText="1"/>
    </xf>
    <xf numFmtId="0" fontId="2"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3"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horizontal="center" wrapText="1"/>
    </xf>
    <xf numFmtId="0" fontId="1" fillId="3" borderId="0" xfId="0" applyFont="1" applyFill="1" applyAlignment="1">
      <alignment vertical="top" wrapText="1"/>
    </xf>
    <xf numFmtId="0" fontId="1" fillId="4" borderId="9" xfId="0" applyFont="1" applyFill="1" applyBorder="1"/>
    <xf numFmtId="0" fontId="1" fillId="0" borderId="0" xfId="0" applyFont="1" applyAlignment="1">
      <alignment vertical="center"/>
    </xf>
    <xf numFmtId="0" fontId="1" fillId="4" borderId="7" xfId="0" applyFont="1" applyFill="1" applyBorder="1" applyAlignment="1">
      <alignment horizontal="center" vertical="center"/>
    </xf>
    <xf numFmtId="0" fontId="1" fillId="4" borderId="18"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7" xfId="0" applyFont="1" applyFill="1" applyBorder="1" applyAlignment="1">
      <alignment vertical="center"/>
    </xf>
    <xf numFmtId="0" fontId="5" fillId="4" borderId="12" xfId="0" applyFont="1" applyFill="1" applyBorder="1" applyAlignment="1">
      <alignment horizontal="center" vertical="center"/>
    </xf>
    <xf numFmtId="0" fontId="1" fillId="4" borderId="16" xfId="0" applyFont="1" applyFill="1" applyBorder="1" applyAlignment="1">
      <alignment vertical="center"/>
    </xf>
    <xf numFmtId="0" fontId="2" fillId="3" borderId="0" xfId="0" applyFont="1" applyFill="1" applyAlignment="1">
      <alignment vertical="center"/>
    </xf>
    <xf numFmtId="0" fontId="6" fillId="3" borderId="0" xfId="0" applyFont="1" applyFill="1" applyAlignment="1">
      <alignment vertical="center"/>
    </xf>
    <xf numFmtId="0" fontId="1" fillId="3" borderId="9" xfId="0" applyFont="1" applyFill="1" applyBorder="1" applyAlignment="1">
      <alignment vertical="center"/>
    </xf>
    <xf numFmtId="0" fontId="1" fillId="3" borderId="3" xfId="0" applyFont="1" applyFill="1" applyBorder="1" applyAlignment="1">
      <alignment vertical="center"/>
    </xf>
    <xf numFmtId="0" fontId="1" fillId="3" borderId="5" xfId="0" applyFont="1" applyFill="1" applyBorder="1" applyAlignment="1">
      <alignment vertical="center"/>
    </xf>
    <xf numFmtId="0" fontId="1" fillId="3" borderId="10" xfId="0" applyFont="1" applyFill="1" applyBorder="1" applyAlignment="1">
      <alignment vertical="center"/>
    </xf>
    <xf numFmtId="0" fontId="1" fillId="2" borderId="3" xfId="0" applyFont="1" applyFill="1" applyBorder="1" applyAlignment="1">
      <alignment vertical="center"/>
    </xf>
    <xf numFmtId="0" fontId="1" fillId="2" borderId="5" xfId="0" applyFont="1" applyFill="1" applyBorder="1" applyAlignment="1">
      <alignment vertical="center"/>
    </xf>
    <xf numFmtId="0" fontId="5" fillId="3" borderId="0" xfId="0" applyFont="1" applyFill="1" applyAlignment="1">
      <alignment horizontal="left" vertical="center"/>
    </xf>
    <xf numFmtId="164" fontId="1" fillId="4" borderId="7" xfId="0" applyNumberFormat="1" applyFont="1" applyFill="1" applyBorder="1" applyAlignment="1">
      <alignment horizontal="center" vertical="center"/>
    </xf>
    <xf numFmtId="164" fontId="1" fillId="4" borderId="8"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wrapText="1"/>
    </xf>
    <xf numFmtId="164" fontId="1" fillId="0" borderId="7"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4" borderId="7" xfId="0" applyNumberFormat="1" applyFont="1" applyFill="1" applyBorder="1" applyAlignment="1">
      <alignment horizontal="center" vertical="center" wrapText="1"/>
    </xf>
    <xf numFmtId="164" fontId="1" fillId="4" borderId="8" xfId="0" applyNumberFormat="1" applyFont="1" applyFill="1" applyBorder="1" applyAlignment="1">
      <alignment horizontal="center" vertical="center" wrapText="1"/>
    </xf>
    <xf numFmtId="164" fontId="1" fillId="4" borderId="12"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3" borderId="0" xfId="0" applyNumberFormat="1" applyFont="1" applyFill="1" applyAlignment="1">
      <alignment horizontal="center" vertical="center"/>
    </xf>
    <xf numFmtId="164" fontId="2" fillId="3" borderId="0" xfId="0" applyNumberFormat="1" applyFont="1" applyFill="1" applyAlignment="1">
      <alignment horizontal="center" vertical="center"/>
    </xf>
    <xf numFmtId="164" fontId="1" fillId="0" borderId="7"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164" fontId="1" fillId="0" borderId="8" xfId="0" applyNumberFormat="1" applyFont="1" applyBorder="1" applyAlignment="1">
      <alignment horizontal="center" vertical="center" wrapText="1"/>
    </xf>
    <xf numFmtId="164" fontId="1" fillId="0" borderId="0" xfId="0" applyNumberFormat="1" applyFont="1" applyAlignment="1">
      <alignment horizontal="center" vertical="center" wrapText="1"/>
    </xf>
    <xf numFmtId="164" fontId="1" fillId="0" borderId="10" xfId="0" applyNumberFormat="1" applyFont="1" applyBorder="1" applyAlignment="1">
      <alignment horizontal="center" vertical="center" wrapText="1"/>
    </xf>
    <xf numFmtId="164" fontId="1" fillId="4" borderId="12" xfId="0" applyNumberFormat="1" applyFont="1" applyFill="1" applyBorder="1" applyAlignment="1">
      <alignment horizontal="center" vertical="center" wrapText="1"/>
    </xf>
    <xf numFmtId="164" fontId="1" fillId="2" borderId="0" xfId="0" applyNumberFormat="1" applyFont="1" applyFill="1" applyAlignment="1">
      <alignment horizontal="center" vertical="center"/>
    </xf>
    <xf numFmtId="164" fontId="1" fillId="2" borderId="10" xfId="0" applyNumberFormat="1" applyFont="1" applyFill="1" applyBorder="1" applyAlignment="1">
      <alignment horizontal="center" vertical="center"/>
    </xf>
    <xf numFmtId="164" fontId="1" fillId="0" borderId="0" xfId="0" applyNumberFormat="1" applyFont="1" applyAlignment="1">
      <alignment horizontal="center" vertical="center"/>
    </xf>
    <xf numFmtId="164" fontId="5" fillId="3" borderId="22" xfId="0" applyNumberFormat="1" applyFont="1" applyFill="1" applyBorder="1" applyAlignment="1">
      <alignment horizontal="center" vertical="center"/>
    </xf>
    <xf numFmtId="164" fontId="5" fillId="3" borderId="27" xfId="0" applyNumberFormat="1" applyFont="1" applyFill="1" applyBorder="1" applyAlignment="1">
      <alignment horizontal="center" vertical="center"/>
    </xf>
    <xf numFmtId="164" fontId="5" fillId="3" borderId="24" xfId="0" applyNumberFormat="1" applyFont="1" applyFill="1" applyBorder="1" applyAlignment="1">
      <alignment horizontal="center" vertical="center"/>
    </xf>
    <xf numFmtId="164" fontId="5" fillId="3" borderId="29" xfId="0" applyNumberFormat="1" applyFont="1" applyFill="1" applyBorder="1" applyAlignment="1">
      <alignment horizontal="center" vertical="center"/>
    </xf>
    <xf numFmtId="164" fontId="5" fillId="0" borderId="7"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1" fillId="0" borderId="12" xfId="0" applyNumberFormat="1" applyFont="1" applyBorder="1" applyAlignment="1">
      <alignment horizontal="center" vertical="center"/>
    </xf>
    <xf numFmtId="0" fontId="11" fillId="3" borderId="0" xfId="0" applyFont="1" applyFill="1" applyAlignment="1">
      <alignment vertical="top" wrapText="1"/>
    </xf>
    <xf numFmtId="164" fontId="5" fillId="3" borderId="21" xfId="0" applyNumberFormat="1" applyFont="1" applyFill="1" applyBorder="1" applyAlignment="1">
      <alignment horizontal="center" vertical="center"/>
    </xf>
    <xf numFmtId="164" fontId="5" fillId="4" borderId="11" xfId="0" applyNumberFormat="1" applyFont="1" applyFill="1" applyBorder="1" applyAlignment="1">
      <alignment horizontal="center" vertical="center"/>
    </xf>
    <xf numFmtId="0" fontId="1" fillId="4" borderId="8"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3" fillId="2" borderId="0" xfId="0" applyFont="1" applyFill="1" applyAlignment="1">
      <alignment horizontal="left" vertical="center" wrapText="1"/>
    </xf>
    <xf numFmtId="0" fontId="1" fillId="4" borderId="5"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6" xfId="0" applyFont="1" applyFill="1" applyBorder="1" applyAlignment="1">
      <alignment horizontal="center" vertical="center"/>
    </xf>
    <xf numFmtId="164" fontId="1" fillId="4" borderId="9" xfId="0" applyNumberFormat="1" applyFont="1" applyFill="1" applyBorder="1"/>
    <xf numFmtId="164" fontId="1" fillId="4" borderId="2" xfId="0" applyNumberFormat="1" applyFont="1" applyFill="1" applyBorder="1"/>
    <xf numFmtId="0" fontId="1" fillId="4" borderId="4" xfId="0" applyFont="1" applyFill="1" applyBorder="1"/>
    <xf numFmtId="0" fontId="1" fillId="3" borderId="5" xfId="0" applyFont="1" applyFill="1" applyBorder="1"/>
    <xf numFmtId="0" fontId="1" fillId="3" borderId="1" xfId="0" applyFont="1" applyFill="1" applyBorder="1"/>
    <xf numFmtId="0" fontId="1" fillId="2" borderId="6" xfId="0" applyFont="1" applyFill="1" applyBorder="1"/>
    <xf numFmtId="0" fontId="1" fillId="4" borderId="6" xfId="0" applyFont="1" applyFill="1" applyBorder="1"/>
    <xf numFmtId="0" fontId="1" fillId="0" borderId="4" xfId="0" applyFont="1" applyBorder="1"/>
    <xf numFmtId="0" fontId="1" fillId="4" borderId="2" xfId="0" applyFont="1" applyFill="1" applyBorder="1"/>
    <xf numFmtId="0" fontId="1" fillId="4" borderId="4" xfId="0" applyFont="1" applyFill="1" applyBorder="1" applyAlignment="1">
      <alignment wrapText="1"/>
    </xf>
    <xf numFmtId="0" fontId="1" fillId="0" borderId="2" xfId="0" applyFont="1" applyBorder="1"/>
    <xf numFmtId="0" fontId="1" fillId="4" borderId="5" xfId="0" applyFont="1" applyFill="1" applyBorder="1"/>
    <xf numFmtId="0" fontId="1" fillId="0" borderId="5" xfId="0" applyFont="1" applyBorder="1"/>
    <xf numFmtId="164" fontId="5" fillId="0" borderId="8" xfId="0" applyNumberFormat="1" applyFont="1" applyBorder="1" applyAlignment="1">
      <alignment horizontal="center" vertical="center"/>
    </xf>
    <xf numFmtId="0" fontId="1" fillId="4" borderId="6" xfId="0" applyFont="1" applyFill="1" applyBorder="1" applyAlignment="1">
      <alignment vertical="center" wrapText="1"/>
    </xf>
    <xf numFmtId="0" fontId="1" fillId="0" borderId="6" xfId="0" applyFont="1" applyBorder="1"/>
    <xf numFmtId="0" fontId="21" fillId="3" borderId="0" xfId="0" applyFont="1" applyFill="1"/>
    <xf numFmtId="0" fontId="21" fillId="4" borderId="1" xfId="0" applyFont="1" applyFill="1" applyBorder="1" applyAlignment="1">
      <alignment vertical="center"/>
    </xf>
    <xf numFmtId="0" fontId="21" fillId="4" borderId="2" xfId="0" applyFont="1" applyFill="1" applyBorder="1" applyAlignment="1">
      <alignment vertical="center"/>
    </xf>
    <xf numFmtId="0" fontId="21" fillId="4" borderId="3" xfId="0" applyFont="1" applyFill="1" applyBorder="1" applyAlignment="1">
      <alignment vertical="center"/>
    </xf>
    <xf numFmtId="0" fontId="21" fillId="4" borderId="4" xfId="0" applyFont="1" applyFill="1" applyBorder="1" applyAlignment="1">
      <alignment vertical="center"/>
    </xf>
    <xf numFmtId="0" fontId="21" fillId="4" borderId="3" xfId="0" applyFont="1" applyFill="1" applyBorder="1"/>
    <xf numFmtId="0" fontId="21" fillId="4" borderId="0" xfId="0" applyFont="1" applyFill="1" applyAlignment="1">
      <alignment vertical="center"/>
    </xf>
    <xf numFmtId="0" fontId="21" fillId="3" borderId="10" xfId="0" applyFont="1" applyFill="1" applyBorder="1"/>
    <xf numFmtId="0" fontId="21" fillId="3" borderId="9" xfId="0" applyFont="1" applyFill="1" applyBorder="1"/>
    <xf numFmtId="0" fontId="21" fillId="0" borderId="1" xfId="0" applyFont="1" applyBorder="1" applyAlignment="1">
      <alignment vertical="center"/>
    </xf>
    <xf numFmtId="0" fontId="21" fillId="0" borderId="2" xfId="0" applyFont="1" applyBorder="1" applyAlignment="1">
      <alignment vertical="center"/>
    </xf>
    <xf numFmtId="0" fontId="21" fillId="4" borderId="1" xfId="0" applyFont="1" applyFill="1" applyBorder="1"/>
    <xf numFmtId="0" fontId="21" fillId="4" borderId="2" xfId="0" applyFont="1" applyFill="1" applyBorder="1"/>
    <xf numFmtId="0" fontId="21" fillId="4" borderId="5" xfId="0" applyFont="1" applyFill="1" applyBorder="1" applyAlignment="1">
      <alignment vertical="center"/>
    </xf>
    <xf numFmtId="0" fontId="21" fillId="4" borderId="6" xfId="0" applyFont="1" applyFill="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4" borderId="0" xfId="0" applyFont="1" applyFill="1" applyAlignment="1">
      <alignment horizontal="left" vertical="center"/>
    </xf>
    <xf numFmtId="0" fontId="21" fillId="4" borderId="4" xfId="0" applyFont="1" applyFill="1" applyBorder="1" applyAlignment="1">
      <alignment horizontal="left" vertical="center"/>
    </xf>
    <xf numFmtId="0" fontId="21" fillId="4" borderId="0" xfId="0" applyFont="1" applyFill="1"/>
    <xf numFmtId="0" fontId="21" fillId="0" borderId="0" xfId="0" applyFont="1" applyAlignment="1">
      <alignment vertical="center"/>
    </xf>
    <xf numFmtId="0" fontId="21" fillId="0" borderId="4" xfId="0" applyFont="1" applyBorder="1" applyAlignment="1">
      <alignment vertical="center"/>
    </xf>
    <xf numFmtId="0" fontId="21" fillId="4" borderId="10" xfId="0" applyFont="1" applyFill="1" applyBorder="1" applyAlignment="1">
      <alignment vertical="center"/>
    </xf>
    <xf numFmtId="0" fontId="21" fillId="2" borderId="9" xfId="0" applyFont="1" applyFill="1" applyBorder="1"/>
    <xf numFmtId="0" fontId="21" fillId="2" borderId="0" xfId="0" applyFont="1" applyFill="1"/>
    <xf numFmtId="0" fontId="21" fillId="2" borderId="10" xfId="0" applyFont="1" applyFill="1" applyBorder="1"/>
    <xf numFmtId="0" fontId="21" fillId="2" borderId="6" xfId="0" applyFont="1" applyFill="1" applyBorder="1"/>
    <xf numFmtId="0" fontId="21" fillId="4" borderId="3" xfId="0" applyFont="1" applyFill="1" applyBorder="1" applyAlignment="1">
      <alignment horizontal="left" vertical="center"/>
    </xf>
    <xf numFmtId="0" fontId="21" fillId="4" borderId="0" xfId="0" applyFont="1" applyFill="1" applyAlignment="1">
      <alignment horizontal="left" vertical="center" wrapText="1"/>
    </xf>
    <xf numFmtId="0" fontId="21" fillId="4" borderId="10" xfId="0" applyFont="1" applyFill="1" applyBorder="1" applyAlignment="1">
      <alignment horizontal="left" vertical="center"/>
    </xf>
    <xf numFmtId="0" fontId="21" fillId="0" borderId="0" xfId="0" applyFont="1" applyAlignment="1">
      <alignment horizontal="left" vertical="center"/>
    </xf>
    <xf numFmtId="0" fontId="21" fillId="4" borderId="4" xfId="0" applyFont="1" applyFill="1" applyBorder="1" applyAlignment="1">
      <alignment vertical="center" wrapText="1"/>
    </xf>
    <xf numFmtId="0" fontId="21" fillId="4" borderId="0" xfId="0" applyFont="1" applyFill="1" applyAlignment="1">
      <alignment vertical="center" wrapText="1"/>
    </xf>
    <xf numFmtId="0" fontId="21" fillId="4" borderId="10" xfId="0" applyFont="1" applyFill="1" applyBorder="1"/>
    <xf numFmtId="0" fontId="21" fillId="4" borderId="6" xfId="0" applyFont="1" applyFill="1" applyBorder="1"/>
    <xf numFmtId="0" fontId="21" fillId="4" borderId="4" xfId="0" applyFont="1" applyFill="1" applyBorder="1"/>
    <xf numFmtId="0" fontId="21" fillId="0" borderId="0" xfId="0" applyFont="1"/>
    <xf numFmtId="0" fontId="21" fillId="0" borderId="4" xfId="0" applyFont="1" applyBorder="1"/>
    <xf numFmtId="0" fontId="21" fillId="4" borderId="4" xfId="0" applyFont="1" applyFill="1" applyBorder="1" applyAlignment="1">
      <alignment wrapText="1"/>
    </xf>
    <xf numFmtId="0" fontId="21" fillId="4" borderId="0" xfId="0" applyFont="1" applyFill="1" applyAlignment="1">
      <alignment wrapText="1"/>
    </xf>
    <xf numFmtId="0" fontId="21" fillId="0" borderId="2" xfId="0" applyFont="1" applyBorder="1"/>
    <xf numFmtId="0" fontId="21" fillId="0" borderId="4" xfId="0" applyFont="1" applyBorder="1" applyAlignment="1">
      <alignment wrapText="1"/>
    </xf>
    <xf numFmtId="0" fontId="21" fillId="0" borderId="4" xfId="0" applyFont="1" applyBorder="1" applyAlignment="1">
      <alignment horizontal="left" vertical="center"/>
    </xf>
    <xf numFmtId="0" fontId="21" fillId="2" borderId="2" xfId="0" applyFont="1" applyFill="1" applyBorder="1"/>
    <xf numFmtId="0" fontId="1" fillId="3" borderId="0" xfId="0" applyFont="1" applyFill="1" applyAlignment="1">
      <alignment vertical="top"/>
    </xf>
    <xf numFmtId="164" fontId="10" fillId="3" borderId="21" xfId="0" applyNumberFormat="1" applyFont="1" applyFill="1" applyBorder="1" applyAlignment="1">
      <alignment horizontal="center" vertical="center"/>
    </xf>
    <xf numFmtId="0" fontId="23" fillId="3" borderId="0" xfId="0" applyFont="1" applyFill="1" applyAlignment="1">
      <alignment horizontal="left" vertical="center"/>
    </xf>
    <xf numFmtId="0" fontId="5" fillId="3" borderId="0" xfId="0" applyFont="1" applyFill="1" applyAlignment="1">
      <alignment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7"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4" borderId="7" xfId="0" applyFont="1" applyFill="1" applyBorder="1" applyAlignment="1">
      <alignment horizontal="center" vertical="center" wrapText="1"/>
    </xf>
    <xf numFmtId="165" fontId="1" fillId="0" borderId="9" xfId="0" applyNumberFormat="1" applyFont="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vertical="center" wrapText="1"/>
    </xf>
    <xf numFmtId="0" fontId="1" fillId="4" borderId="5" xfId="0" applyFont="1" applyFill="1" applyBorder="1" applyAlignment="1">
      <alignment vertical="center" wrapText="1"/>
    </xf>
    <xf numFmtId="164" fontId="5" fillId="0" borderId="0" xfId="0" applyNumberFormat="1" applyFont="1" applyAlignment="1">
      <alignment horizontal="center" vertical="center"/>
    </xf>
    <xf numFmtId="164" fontId="5" fillId="0" borderId="10" xfId="0" applyNumberFormat="1" applyFont="1" applyBorder="1" applyAlignment="1">
      <alignment horizontal="center" vertical="center"/>
    </xf>
    <xf numFmtId="0" fontId="1" fillId="4" borderId="2" xfId="0" applyFont="1" applyFill="1" applyBorder="1" applyAlignment="1">
      <alignment horizontal="center" vertical="center"/>
    </xf>
    <xf numFmtId="0" fontId="1" fillId="3" borderId="4" xfId="0" applyFont="1" applyFill="1" applyBorder="1" applyAlignment="1">
      <alignment vertical="center"/>
    </xf>
    <xf numFmtId="0" fontId="1" fillId="3" borderId="6" xfId="0" applyFont="1" applyFill="1" applyBorder="1" applyAlignment="1">
      <alignment vertical="center"/>
    </xf>
    <xf numFmtId="164" fontId="1" fillId="0" borderId="0" xfId="0" applyNumberFormat="1" applyFont="1" applyAlignment="1">
      <alignment horizontal="center"/>
    </xf>
    <xf numFmtId="0" fontId="1" fillId="2" borderId="4" xfId="0" applyFont="1" applyFill="1" applyBorder="1" applyAlignment="1">
      <alignment horizontal="center" vertical="center"/>
    </xf>
    <xf numFmtId="165" fontId="1" fillId="3" borderId="12" xfId="0" applyNumberFormat="1" applyFont="1" applyFill="1" applyBorder="1" applyAlignment="1">
      <alignment horizontal="center" vertical="center" wrapText="1"/>
    </xf>
    <xf numFmtId="0" fontId="10" fillId="3" borderId="31" xfId="0" applyFont="1" applyFill="1" applyBorder="1" applyAlignment="1">
      <alignment vertical="center"/>
    </xf>
    <xf numFmtId="164" fontId="5" fillId="3" borderId="30" xfId="0" applyNumberFormat="1" applyFont="1" applyFill="1" applyBorder="1" applyAlignment="1">
      <alignment horizontal="center" vertical="center"/>
    </xf>
    <xf numFmtId="0" fontId="8" fillId="3" borderId="0" xfId="0" applyFont="1" applyFill="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4" borderId="0" xfId="0" applyFont="1" applyFill="1" applyAlignment="1">
      <alignment horizontal="left" vertical="center"/>
    </xf>
    <xf numFmtId="0" fontId="1" fillId="4" borderId="1" xfId="0" applyFont="1" applyFill="1" applyBorder="1"/>
    <xf numFmtId="0" fontId="2" fillId="5" borderId="21" xfId="0" applyFont="1" applyFill="1" applyBorder="1" applyAlignment="1">
      <alignment horizontal="center" vertical="center"/>
    </xf>
    <xf numFmtId="0" fontId="10" fillId="3" borderId="40" xfId="0" applyFont="1" applyFill="1" applyBorder="1" applyAlignment="1">
      <alignment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1" fillId="4" borderId="4" xfId="0" applyFont="1" applyFill="1" applyBorder="1" applyAlignment="1">
      <alignment horizontal="center" vertical="center"/>
    </xf>
    <xf numFmtId="165" fontId="1" fillId="0" borderId="11" xfId="0" applyNumberFormat="1" applyFont="1" applyBorder="1" applyAlignment="1">
      <alignment horizontal="center" vertical="center" wrapText="1"/>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1" fillId="4" borderId="6" xfId="0" applyFont="1" applyFill="1" applyBorder="1" applyAlignment="1">
      <alignment horizontal="left"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21" fillId="4" borderId="6" xfId="0" applyFont="1" applyFill="1" applyBorder="1" applyAlignment="1">
      <alignment horizontal="left" vertical="center"/>
    </xf>
    <xf numFmtId="0" fontId="21" fillId="0" borderId="2" xfId="0" applyFont="1" applyBorder="1" applyAlignment="1">
      <alignment horizontal="left" vertical="center"/>
    </xf>
    <xf numFmtId="0" fontId="1" fillId="0" borderId="0" xfId="0" applyFont="1" applyAlignment="1">
      <alignment horizontal="left" vertical="center"/>
    </xf>
    <xf numFmtId="2" fontId="1" fillId="0" borderId="7" xfId="0" applyNumberFormat="1" applyFont="1" applyBorder="1" applyAlignment="1">
      <alignment horizontal="center" vertical="center" wrapText="1"/>
    </xf>
    <xf numFmtId="0" fontId="17" fillId="2" borderId="51" xfId="0" applyFont="1" applyFill="1" applyBorder="1"/>
    <xf numFmtId="0" fontId="17" fillId="2" borderId="13" xfId="0" applyFont="1" applyFill="1" applyBorder="1"/>
    <xf numFmtId="0" fontId="17" fillId="2" borderId="36" xfId="0" applyFont="1" applyFill="1" applyBorder="1"/>
    <xf numFmtId="0" fontId="16" fillId="3" borderId="0" xfId="0" applyFont="1" applyFill="1" applyAlignment="1">
      <alignment vertical="top" wrapText="1"/>
    </xf>
    <xf numFmtId="0" fontId="19" fillId="3" borderId="0" xfId="0" applyFont="1" applyFill="1" applyAlignment="1">
      <alignment horizontal="left" vertical="center"/>
    </xf>
    <xf numFmtId="0" fontId="17" fillId="3" borderId="0" xfId="0" applyFont="1" applyFill="1" applyAlignment="1">
      <alignment horizontal="left" vertical="center"/>
    </xf>
    <xf numFmtId="0" fontId="24" fillId="3" borderId="0" xfId="0" applyFont="1" applyFill="1"/>
    <xf numFmtId="0" fontId="24" fillId="3" borderId="41" xfId="0" applyFont="1" applyFill="1" applyBorder="1"/>
    <xf numFmtId="0" fontId="24" fillId="3" borderId="42" xfId="0" applyFont="1" applyFill="1" applyBorder="1"/>
    <xf numFmtId="164" fontId="24" fillId="3" borderId="41" xfId="0" applyNumberFormat="1" applyFont="1" applyFill="1" applyBorder="1"/>
    <xf numFmtId="164" fontId="24" fillId="3" borderId="43" xfId="0" applyNumberFormat="1" applyFont="1" applyFill="1" applyBorder="1"/>
    <xf numFmtId="0" fontId="24" fillId="3" borderId="50" xfId="0" applyFont="1" applyFill="1" applyBorder="1" applyAlignment="1">
      <alignment horizontal="center" vertical="center"/>
    </xf>
    <xf numFmtId="44" fontId="24" fillId="3" borderId="0" xfId="0" applyNumberFormat="1" applyFont="1" applyFill="1"/>
    <xf numFmtId="44" fontId="25" fillId="7" borderId="42" xfId="0" applyNumberFormat="1" applyFont="1" applyFill="1" applyBorder="1" applyAlignment="1">
      <alignment horizontal="center"/>
    </xf>
    <xf numFmtId="44" fontId="24" fillId="3" borderId="42" xfId="0" applyNumberFormat="1" applyFont="1" applyFill="1" applyBorder="1" applyAlignment="1">
      <alignment horizontal="center"/>
    </xf>
    <xf numFmtId="44" fontId="24" fillId="3" borderId="43" xfId="0" applyNumberFormat="1" applyFont="1" applyFill="1" applyBorder="1" applyAlignment="1">
      <alignment horizontal="center"/>
    </xf>
    <xf numFmtId="0" fontId="24" fillId="3" borderId="44" xfId="0" applyFont="1" applyFill="1" applyBorder="1"/>
    <xf numFmtId="164" fontId="24" fillId="3" borderId="44" xfId="0" applyNumberFormat="1" applyFont="1" applyFill="1" applyBorder="1"/>
    <xf numFmtId="164" fontId="24" fillId="3" borderId="45" xfId="0" applyNumberFormat="1" applyFont="1" applyFill="1" applyBorder="1"/>
    <xf numFmtId="0" fontId="24" fillId="3" borderId="48" xfId="0" applyFont="1" applyFill="1" applyBorder="1" applyAlignment="1">
      <alignment horizontal="center" vertical="center"/>
    </xf>
    <xf numFmtId="44" fontId="25" fillId="7" borderId="0" xfId="0" applyNumberFormat="1" applyFont="1" applyFill="1" applyAlignment="1">
      <alignment horizontal="center"/>
    </xf>
    <xf numFmtId="44" fontId="24" fillId="3" borderId="0" xfId="0" applyNumberFormat="1" applyFont="1" applyFill="1" applyAlignment="1">
      <alignment horizontal="center"/>
    </xf>
    <xf numFmtId="44" fontId="24" fillId="3" borderId="45" xfId="0" applyNumberFormat="1" applyFont="1" applyFill="1" applyBorder="1" applyAlignment="1">
      <alignment horizontal="center"/>
    </xf>
    <xf numFmtId="0" fontId="24" fillId="3" borderId="49" xfId="0" applyFont="1" applyFill="1" applyBorder="1" applyAlignment="1">
      <alignment horizontal="center" vertical="center"/>
    </xf>
    <xf numFmtId="44" fontId="24" fillId="3" borderId="39" xfId="0" applyNumberFormat="1" applyFont="1" applyFill="1" applyBorder="1" applyAlignment="1">
      <alignment horizontal="center"/>
    </xf>
    <xf numFmtId="0" fontId="25" fillId="7" borderId="39" xfId="0" applyFont="1" applyFill="1" applyBorder="1" applyAlignment="1">
      <alignment horizontal="center"/>
    </xf>
    <xf numFmtId="0" fontId="24" fillId="3" borderId="39" xfId="0" applyFont="1" applyFill="1" applyBorder="1" applyAlignment="1">
      <alignment horizontal="center"/>
    </xf>
    <xf numFmtId="0" fontId="24" fillId="3" borderId="47" xfId="0" applyFont="1" applyFill="1" applyBorder="1" applyAlignment="1">
      <alignment horizontal="center"/>
    </xf>
    <xf numFmtId="0" fontId="24" fillId="3" borderId="50" xfId="0" applyFont="1" applyFill="1" applyBorder="1" applyAlignment="1">
      <alignment horizontal="center"/>
    </xf>
    <xf numFmtId="0" fontId="24" fillId="3" borderId="48" xfId="0" applyFont="1" applyFill="1" applyBorder="1" applyAlignment="1">
      <alignment horizontal="center"/>
    </xf>
    <xf numFmtId="164" fontId="24" fillId="3" borderId="39" xfId="0" applyNumberFormat="1" applyFont="1" applyFill="1" applyBorder="1" applyAlignment="1">
      <alignment horizontal="center"/>
    </xf>
    <xf numFmtId="0" fontId="28" fillId="3" borderId="63" xfId="0" applyFont="1" applyFill="1" applyBorder="1"/>
    <xf numFmtId="0" fontId="24" fillId="3" borderId="63" xfId="0" applyFont="1" applyFill="1" applyBorder="1"/>
    <xf numFmtId="0" fontId="17" fillId="8" borderId="60" xfId="0" applyFont="1" applyFill="1" applyBorder="1" applyAlignment="1">
      <alignment horizontal="left" vertical="center"/>
    </xf>
    <xf numFmtId="0" fontId="17" fillId="8" borderId="54" xfId="0" applyFont="1" applyFill="1" applyBorder="1" applyAlignment="1">
      <alignment horizontal="left" vertical="center"/>
    </xf>
    <xf numFmtId="0" fontId="17" fillId="8" borderId="54" xfId="0" applyFont="1" applyFill="1" applyBorder="1" applyAlignment="1">
      <alignment horizontal="center"/>
    </xf>
    <xf numFmtId="0" fontId="17" fillId="8" borderId="62" xfId="0" applyFont="1" applyFill="1" applyBorder="1" applyAlignment="1">
      <alignment horizontal="left" vertical="center"/>
    </xf>
    <xf numFmtId="0" fontId="17" fillId="8" borderId="63" xfId="0" applyFont="1" applyFill="1" applyBorder="1" applyAlignment="1">
      <alignment horizontal="left" vertical="center"/>
    </xf>
    <xf numFmtId="0" fontId="17" fillId="8" borderId="63" xfId="0" applyFont="1" applyFill="1" applyBorder="1" applyAlignment="1">
      <alignment horizontal="center"/>
    </xf>
    <xf numFmtId="0" fontId="24" fillId="0" borderId="61" xfId="0" applyFont="1" applyBorder="1"/>
    <xf numFmtId="0" fontId="24" fillId="0" borderId="0" xfId="0" applyFont="1"/>
    <xf numFmtId="44" fontId="24" fillId="9" borderId="0" xfId="0" applyNumberFormat="1" applyFont="1" applyFill="1"/>
    <xf numFmtId="44" fontId="24" fillId="9" borderId="56" xfId="0" applyNumberFormat="1" applyFont="1" applyFill="1" applyBorder="1"/>
    <xf numFmtId="0" fontId="24" fillId="9" borderId="59" xfId="0" applyFont="1" applyFill="1" applyBorder="1"/>
    <xf numFmtId="0" fontId="24" fillId="9" borderId="58" xfId="0" applyFont="1" applyFill="1" applyBorder="1"/>
    <xf numFmtId="0" fontId="28" fillId="9" borderId="58" xfId="0" applyFont="1" applyFill="1" applyBorder="1"/>
    <xf numFmtId="44" fontId="24" fillId="9" borderId="57" xfId="0" applyNumberFormat="1" applyFont="1" applyFill="1" applyBorder="1"/>
    <xf numFmtId="0" fontId="24" fillId="3" borderId="46" xfId="0" applyFont="1" applyFill="1" applyBorder="1"/>
    <xf numFmtId="0" fontId="24" fillId="3" borderId="39" xfId="0" applyFont="1" applyFill="1" applyBorder="1"/>
    <xf numFmtId="164" fontId="24" fillId="3" borderId="46" xfId="0" applyNumberFormat="1" applyFont="1" applyFill="1" applyBorder="1"/>
    <xf numFmtId="164" fontId="24" fillId="3" borderId="47" xfId="0" applyNumberFormat="1" applyFont="1" applyFill="1" applyBorder="1"/>
    <xf numFmtId="0" fontId="16" fillId="3" borderId="0" xfId="0" applyFont="1" applyFill="1" applyAlignment="1">
      <alignment horizontal="left" vertical="center"/>
    </xf>
    <xf numFmtId="0" fontId="17" fillId="3" borderId="0" xfId="0" applyFont="1" applyFill="1" applyAlignment="1">
      <alignment horizontal="left" vertical="center" wrapText="1"/>
    </xf>
    <xf numFmtId="0" fontId="18" fillId="3" borderId="0" xfId="0" applyFont="1" applyFill="1" applyAlignment="1">
      <alignment vertical="top"/>
    </xf>
    <xf numFmtId="0" fontId="18" fillId="3" borderId="0" xfId="0" applyFont="1" applyFill="1" applyAlignment="1">
      <alignment horizontal="center" vertical="top"/>
    </xf>
    <xf numFmtId="164" fontId="18" fillId="3" borderId="0" xfId="0" applyNumberFormat="1" applyFont="1" applyFill="1" applyAlignment="1">
      <alignment vertical="top"/>
    </xf>
    <xf numFmtId="0" fontId="24" fillId="3" borderId="0" xfId="0" applyFont="1" applyFill="1" applyAlignment="1">
      <alignment vertical="top"/>
    </xf>
    <xf numFmtId="0" fontId="24" fillId="2" borderId="13" xfId="0" applyFont="1" applyFill="1" applyBorder="1" applyAlignment="1">
      <alignment vertical="top"/>
    </xf>
    <xf numFmtId="0" fontId="17" fillId="2" borderId="15" xfId="0" applyFont="1" applyFill="1" applyBorder="1" applyAlignment="1">
      <alignment horizontal="center" vertical="top"/>
    </xf>
    <xf numFmtId="0" fontId="17" fillId="2" borderId="15" xfId="0" applyFont="1" applyFill="1" applyBorder="1" applyAlignment="1">
      <alignment horizontal="center" vertical="center"/>
    </xf>
    <xf numFmtId="164" fontId="17" fillId="2" borderId="15" xfId="0" applyNumberFormat="1" applyFont="1" applyFill="1" applyBorder="1" applyAlignment="1">
      <alignment horizontal="center" vertical="center"/>
    </xf>
    <xf numFmtId="164" fontId="17" fillId="2" borderId="20" xfId="0" applyNumberFormat="1" applyFont="1" applyFill="1" applyBorder="1" applyAlignment="1">
      <alignment horizontal="center" vertical="center"/>
    </xf>
    <xf numFmtId="0" fontId="24" fillId="0" borderId="14" xfId="0" applyFont="1" applyBorder="1" applyAlignment="1">
      <alignment horizontal="left" vertical="top"/>
    </xf>
    <xf numFmtId="0" fontId="24" fillId="0" borderId="20" xfId="0" applyFont="1" applyBorder="1" applyAlignment="1">
      <alignment horizontal="left" vertical="top"/>
    </xf>
    <xf numFmtId="1" fontId="24" fillId="0" borderId="20" xfId="0" applyNumberFormat="1" applyFont="1" applyBorder="1" applyAlignment="1">
      <alignment horizontal="center" vertical="top"/>
    </xf>
    <xf numFmtId="164" fontId="24" fillId="0" borderId="20" xfId="0" applyNumberFormat="1" applyFont="1" applyBorder="1" applyAlignment="1">
      <alignment horizontal="center" vertical="top"/>
    </xf>
    <xf numFmtId="0" fontId="24" fillId="0" borderId="32" xfId="0" applyFont="1" applyBorder="1" applyAlignment="1">
      <alignment horizontal="center" vertical="top"/>
    </xf>
    <xf numFmtId="164" fontId="24" fillId="0" borderId="13" xfId="1" applyNumberFormat="1" applyFont="1" applyBorder="1" applyAlignment="1">
      <alignment vertical="top"/>
    </xf>
    <xf numFmtId="164" fontId="24" fillId="0" borderId="36" xfId="1" applyNumberFormat="1" applyFont="1" applyBorder="1" applyAlignment="1">
      <alignment vertical="top"/>
    </xf>
    <xf numFmtId="0" fontId="24" fillId="0" borderId="13" xfId="0" applyFont="1" applyBorder="1" applyAlignment="1">
      <alignment horizontal="left" vertical="top" wrapText="1"/>
    </xf>
    <xf numFmtId="0" fontId="24" fillId="0" borderId="13" xfId="0" applyFont="1" applyBorder="1" applyAlignment="1">
      <alignment horizontal="left" vertical="top"/>
    </xf>
    <xf numFmtId="0" fontId="24" fillId="0" borderId="36" xfId="0" applyFont="1" applyBorder="1" applyAlignment="1">
      <alignment horizontal="left" vertical="top"/>
    </xf>
    <xf numFmtId="1" fontId="24" fillId="0" borderId="36" xfId="0" applyNumberFormat="1" applyFont="1" applyBorder="1" applyAlignment="1">
      <alignment horizontal="center" vertical="top"/>
    </xf>
    <xf numFmtId="164" fontId="24" fillId="0" borderId="36" xfId="0" applyNumberFormat="1" applyFont="1" applyBorder="1" applyAlignment="1">
      <alignment horizontal="center" vertical="top"/>
    </xf>
    <xf numFmtId="0" fontId="24" fillId="0" borderId="33" xfId="0" applyFont="1" applyBorder="1" applyAlignment="1">
      <alignment horizontal="center" vertical="top"/>
    </xf>
    <xf numFmtId="0" fontId="18" fillId="0" borderId="0" xfId="0" applyFont="1" applyAlignment="1">
      <alignment horizontal="left" vertical="top" wrapText="1"/>
    </xf>
    <xf numFmtId="0" fontId="18" fillId="0" borderId="0" xfId="0" applyFont="1" applyAlignment="1">
      <alignment horizontal="left" vertical="top"/>
    </xf>
    <xf numFmtId="0" fontId="24" fillId="0" borderId="37" xfId="0" applyFont="1" applyBorder="1" applyAlignment="1">
      <alignment horizontal="left" vertical="top"/>
    </xf>
    <xf numFmtId="1" fontId="24" fillId="0" borderId="37" xfId="0" applyNumberFormat="1" applyFont="1" applyBorder="1" applyAlignment="1">
      <alignment horizontal="center" vertical="top"/>
    </xf>
    <xf numFmtId="164" fontId="24" fillId="0" borderId="37" xfId="0" applyNumberFormat="1" applyFont="1" applyBorder="1" applyAlignment="1">
      <alignment horizontal="center" vertical="top"/>
    </xf>
    <xf numFmtId="0" fontId="24" fillId="0" borderId="34" xfId="0" applyFont="1" applyBorder="1" applyAlignment="1">
      <alignment horizontal="center" vertical="top"/>
    </xf>
    <xf numFmtId="0" fontId="24" fillId="6" borderId="0" xfId="0" applyFont="1" applyFill="1" applyAlignment="1">
      <alignment vertical="top"/>
    </xf>
    <xf numFmtId="0" fontId="24" fillId="6" borderId="37" xfId="0" applyFont="1" applyFill="1" applyBorder="1" applyAlignment="1">
      <alignment vertical="top"/>
    </xf>
    <xf numFmtId="0" fontId="18" fillId="0" borderId="14" xfId="0" applyFont="1" applyBorder="1" applyAlignment="1">
      <alignment horizontal="left" vertical="top" wrapText="1"/>
    </xf>
    <xf numFmtId="0" fontId="18" fillId="0" borderId="14" xfId="0" applyFont="1" applyBorder="1" applyAlignment="1">
      <alignment horizontal="left" vertical="top"/>
    </xf>
    <xf numFmtId="0" fontId="24" fillId="0" borderId="38" xfId="0" applyFont="1" applyBorder="1" applyAlignment="1">
      <alignment vertical="top"/>
    </xf>
    <xf numFmtId="1" fontId="24" fillId="0" borderId="38" xfId="0" applyNumberFormat="1" applyFont="1" applyBorder="1" applyAlignment="1">
      <alignment horizontal="center" vertical="top"/>
    </xf>
    <xf numFmtId="164" fontId="24" fillId="0" borderId="38" xfId="0" applyNumberFormat="1" applyFont="1" applyBorder="1" applyAlignment="1">
      <alignment horizontal="center" vertical="top"/>
    </xf>
    <xf numFmtId="0" fontId="24" fillId="0" borderId="35" xfId="0" applyFont="1" applyBorder="1" applyAlignment="1">
      <alignment horizontal="center" vertical="top"/>
    </xf>
    <xf numFmtId="0" fontId="24" fillId="6" borderId="14" xfId="0" applyFont="1" applyFill="1" applyBorder="1" applyAlignment="1">
      <alignment vertical="top"/>
    </xf>
    <xf numFmtId="0" fontId="24" fillId="6" borderId="38" xfId="0" applyFont="1" applyFill="1" applyBorder="1" applyAlignment="1">
      <alignment vertical="top"/>
    </xf>
    <xf numFmtId="0" fontId="16" fillId="0" borderId="13" xfId="0" applyFont="1" applyBorder="1" applyAlignment="1">
      <alignment horizontal="left" vertical="top"/>
    </xf>
    <xf numFmtId="0" fontId="24" fillId="0" borderId="13" xfId="0" applyFont="1" applyBorder="1" applyAlignment="1">
      <alignment horizontal="left" vertical="center"/>
    </xf>
    <xf numFmtId="44" fontId="24" fillId="0" borderId="36" xfId="1" applyFont="1" applyBorder="1" applyAlignment="1">
      <alignment vertical="top"/>
    </xf>
    <xf numFmtId="0" fontId="18" fillId="0" borderId="0" xfId="0" applyFont="1" applyAlignment="1">
      <alignment horizontal="left" vertical="center"/>
    </xf>
    <xf numFmtId="0" fontId="24" fillId="0" borderId="37" xfId="0" applyFont="1" applyBorder="1" applyAlignment="1">
      <alignment horizontal="left" vertical="center"/>
    </xf>
    <xf numFmtId="1" fontId="24" fillId="0" borderId="37" xfId="0" applyNumberFormat="1" applyFont="1" applyBorder="1" applyAlignment="1">
      <alignment horizontal="center" vertical="center"/>
    </xf>
    <xf numFmtId="164" fontId="24" fillId="0" borderId="37" xfId="0" applyNumberFormat="1" applyFont="1" applyBorder="1" applyAlignment="1">
      <alignment horizontal="center" vertical="center"/>
    </xf>
    <xf numFmtId="0" fontId="24" fillId="0" borderId="34" xfId="0" applyFont="1" applyBorder="1" applyAlignment="1">
      <alignment horizontal="center" vertical="center"/>
    </xf>
    <xf numFmtId="0" fontId="24" fillId="6" borderId="0" xfId="0" applyFont="1" applyFill="1"/>
    <xf numFmtId="0" fontId="24" fillId="6" borderId="37" xfId="0" applyFont="1" applyFill="1" applyBorder="1"/>
    <xf numFmtId="0" fontId="18" fillId="0" borderId="14" xfId="0" applyFont="1" applyBorder="1" applyAlignment="1">
      <alignment horizontal="left" vertical="center"/>
    </xf>
    <xf numFmtId="0" fontId="24" fillId="6" borderId="14" xfId="0" applyFont="1" applyFill="1" applyBorder="1"/>
    <xf numFmtId="0" fontId="24" fillId="6" borderId="38" xfId="0" applyFont="1" applyFill="1" applyBorder="1"/>
    <xf numFmtId="0" fontId="24" fillId="0" borderId="13" xfId="0" applyFont="1" applyBorder="1"/>
    <xf numFmtId="44" fontId="24" fillId="0" borderId="13" xfId="1" applyFont="1" applyBorder="1" applyAlignment="1">
      <alignment vertical="top"/>
    </xf>
    <xf numFmtId="0" fontId="18" fillId="0" borderId="0" xfId="0" applyFont="1"/>
    <xf numFmtId="0" fontId="18" fillId="0" borderId="14" xfId="0" applyFont="1" applyBorder="1"/>
    <xf numFmtId="0" fontId="24" fillId="0" borderId="38" xfId="0" applyFont="1" applyBorder="1" applyAlignment="1">
      <alignment horizontal="left" vertical="center"/>
    </xf>
    <xf numFmtId="1" fontId="24" fillId="0" borderId="38" xfId="0" applyNumberFormat="1" applyFont="1" applyBorder="1" applyAlignment="1">
      <alignment horizontal="center" vertical="center"/>
    </xf>
    <xf numFmtId="164" fontId="24" fillId="0" borderId="38" xfId="0" applyNumberFormat="1" applyFont="1" applyBorder="1" applyAlignment="1">
      <alignment horizontal="center" vertical="center"/>
    </xf>
    <xf numFmtId="0" fontId="24" fillId="0" borderId="35" xfId="0" applyFont="1" applyBorder="1" applyAlignment="1">
      <alignment horizontal="center" vertical="center"/>
    </xf>
    <xf numFmtId="0" fontId="24" fillId="0" borderId="37" xfId="0" applyFont="1" applyBorder="1" applyAlignment="1">
      <alignment horizontal="center" vertical="center"/>
    </xf>
    <xf numFmtId="0" fontId="24" fillId="0" borderId="13" xfId="0" applyFont="1" applyBorder="1" applyAlignment="1">
      <alignment vertical="center"/>
    </xf>
    <xf numFmtId="0" fontId="24" fillId="0" borderId="36" xfId="0" applyFont="1" applyBorder="1" applyAlignment="1">
      <alignment horizontal="left" vertical="center"/>
    </xf>
    <xf numFmtId="1" fontId="24" fillId="0" borderId="36" xfId="0" applyNumberFormat="1" applyFont="1" applyBorder="1" applyAlignment="1">
      <alignment horizontal="center" vertical="center"/>
    </xf>
    <xf numFmtId="164" fontId="24" fillId="0" borderId="36" xfId="0" applyNumberFormat="1" applyFont="1" applyBorder="1" applyAlignment="1">
      <alignment horizontal="center" vertical="center"/>
    </xf>
    <xf numFmtId="0" fontId="24" fillId="0" borderId="36" xfId="0" applyFont="1" applyBorder="1" applyAlignment="1">
      <alignment horizontal="center" vertical="center"/>
    </xf>
    <xf numFmtId="0" fontId="18" fillId="0" borderId="0" xfId="0" applyFont="1" applyAlignment="1">
      <alignment vertical="center"/>
    </xf>
    <xf numFmtId="0" fontId="18" fillId="0" borderId="14" xfId="0" applyFont="1" applyBorder="1" applyAlignment="1">
      <alignment vertical="center"/>
    </xf>
    <xf numFmtId="0" fontId="24" fillId="0" borderId="37" xfId="0" applyFont="1" applyBorder="1"/>
    <xf numFmtId="1" fontId="24" fillId="0" borderId="37" xfId="0" applyNumberFormat="1" applyFont="1" applyBorder="1" applyAlignment="1">
      <alignment horizontal="center"/>
    </xf>
    <xf numFmtId="164" fontId="24" fillId="0" borderId="37" xfId="0" applyNumberFormat="1" applyFont="1" applyBorder="1" applyAlignment="1">
      <alignment horizontal="center"/>
    </xf>
    <xf numFmtId="0" fontId="24" fillId="0" borderId="34" xfId="0" applyFont="1" applyBorder="1" applyAlignment="1">
      <alignment horizontal="center"/>
    </xf>
    <xf numFmtId="0" fontId="24" fillId="0" borderId="38" xfId="0" applyFont="1" applyBorder="1"/>
    <xf numFmtId="1" fontId="24" fillId="0" borderId="38" xfId="0" applyNumberFormat="1" applyFont="1" applyBorder="1" applyAlignment="1">
      <alignment horizontal="center"/>
    </xf>
    <xf numFmtId="164" fontId="24" fillId="0" borderId="38" xfId="0" applyNumberFormat="1" applyFont="1" applyBorder="1" applyAlignment="1">
      <alignment horizontal="center"/>
    </xf>
    <xf numFmtId="0" fontId="24" fillId="0" borderId="35" xfId="0" applyFont="1" applyBorder="1" applyAlignment="1">
      <alignment horizontal="center"/>
    </xf>
    <xf numFmtId="1" fontId="24" fillId="0" borderId="34" xfId="0" applyNumberFormat="1" applyFont="1" applyBorder="1" applyAlignment="1">
      <alignment horizontal="center" vertical="top"/>
    </xf>
    <xf numFmtId="164" fontId="24" fillId="0" borderId="34" xfId="0" applyNumberFormat="1" applyFont="1" applyBorder="1" applyAlignment="1">
      <alignment horizontal="center" vertical="top"/>
    </xf>
    <xf numFmtId="164" fontId="24" fillId="0" borderId="34" xfId="0" applyNumberFormat="1" applyFont="1" applyBorder="1" applyAlignment="1">
      <alignment horizontal="center"/>
    </xf>
    <xf numFmtId="0" fontId="24" fillId="0" borderId="38" xfId="0" applyFont="1" applyBorder="1" applyAlignment="1">
      <alignment horizontal="left" vertical="top"/>
    </xf>
    <xf numFmtId="0" fontId="24" fillId="0" borderId="15" xfId="0" applyFont="1" applyBorder="1"/>
    <xf numFmtId="164" fontId="24" fillId="0" borderId="15" xfId="1" applyNumberFormat="1" applyFont="1" applyBorder="1" applyAlignment="1">
      <alignment vertical="top"/>
    </xf>
    <xf numFmtId="164" fontId="24" fillId="0" borderId="20" xfId="1" applyNumberFormat="1" applyFont="1" applyBorder="1" applyAlignment="1">
      <alignment vertical="top"/>
    </xf>
    <xf numFmtId="0" fontId="24" fillId="0" borderId="37" xfId="0" applyFont="1" applyBorder="1" applyAlignment="1">
      <alignment vertical="top"/>
    </xf>
    <xf numFmtId="164" fontId="24" fillId="0" borderId="13" xfId="1" applyNumberFormat="1" applyFont="1" applyFill="1" applyBorder="1" applyAlignment="1">
      <alignment vertical="top"/>
    </xf>
    <xf numFmtId="164" fontId="24" fillId="0" borderId="36" xfId="1" applyNumberFormat="1" applyFont="1" applyFill="1" applyBorder="1" applyAlignment="1">
      <alignment vertical="top"/>
    </xf>
    <xf numFmtId="0" fontId="28" fillId="3" borderId="0" xfId="0" applyFont="1" applyFill="1"/>
    <xf numFmtId="0" fontId="17" fillId="2" borderId="51" xfId="0" applyFont="1" applyFill="1" applyBorder="1" applyAlignment="1">
      <alignment vertical="center"/>
    </xf>
    <xf numFmtId="0" fontId="17" fillId="2" borderId="13" xfId="0" applyFont="1" applyFill="1" applyBorder="1" applyAlignment="1">
      <alignment vertical="center"/>
    </xf>
    <xf numFmtId="0" fontId="24" fillId="3" borderId="51" xfId="0" applyFont="1" applyFill="1" applyBorder="1" applyAlignment="1">
      <alignment horizontal="center"/>
    </xf>
    <xf numFmtId="0" fontId="24" fillId="3" borderId="52" xfId="0" applyFont="1" applyFill="1" applyBorder="1" applyAlignment="1">
      <alignment horizontal="center"/>
    </xf>
    <xf numFmtId="0" fontId="24" fillId="3" borderId="53" xfId="0" applyFont="1" applyFill="1" applyBorder="1" applyAlignment="1">
      <alignment horizontal="center"/>
    </xf>
    <xf numFmtId="164" fontId="24" fillId="3" borderId="38" xfId="0" applyNumberFormat="1" applyFont="1" applyFill="1" applyBorder="1" applyAlignment="1">
      <alignment horizont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3" fontId="24" fillId="3" borderId="51" xfId="0" applyNumberFormat="1" applyFont="1" applyFill="1" applyBorder="1" applyAlignment="1">
      <alignment horizontal="right" vertical="center"/>
    </xf>
    <xf numFmtId="3" fontId="24" fillId="3" borderId="13" xfId="0" applyNumberFormat="1" applyFont="1" applyFill="1" applyBorder="1" applyAlignment="1">
      <alignment horizontal="right" vertical="center"/>
    </xf>
    <xf numFmtId="3" fontId="24" fillId="3" borderId="36" xfId="0" applyNumberFormat="1" applyFont="1" applyFill="1" applyBorder="1" applyAlignment="1">
      <alignment horizontal="right" vertical="center"/>
    </xf>
    <xf numFmtId="3" fontId="24" fillId="3" borderId="52" xfId="0" applyNumberFormat="1" applyFont="1" applyFill="1" applyBorder="1" applyAlignment="1">
      <alignment horizontal="right" vertical="center"/>
    </xf>
    <xf numFmtId="3" fontId="24" fillId="3" borderId="0" xfId="0" applyNumberFormat="1" applyFont="1" applyFill="1" applyAlignment="1">
      <alignment horizontal="right" vertical="center"/>
    </xf>
    <xf numFmtId="3" fontId="24" fillId="3" borderId="37" xfId="0" applyNumberFormat="1" applyFont="1" applyFill="1" applyBorder="1" applyAlignment="1">
      <alignment horizontal="right" vertical="center"/>
    </xf>
    <xf numFmtId="4" fontId="28" fillId="3" borderId="37" xfId="0" applyNumberFormat="1" applyFont="1" applyFill="1" applyBorder="1" applyAlignment="1">
      <alignment horizontal="right" vertical="center"/>
    </xf>
    <xf numFmtId="0" fontId="24" fillId="3" borderId="53" xfId="0" applyFont="1" applyFill="1" applyBorder="1" applyAlignment="1">
      <alignment horizontal="left" vertical="center"/>
    </xf>
    <xf numFmtId="0" fontId="24" fillId="3" borderId="38" xfId="0" applyFont="1" applyFill="1" applyBorder="1" applyAlignment="1">
      <alignment horizontal="left" vertical="center"/>
    </xf>
    <xf numFmtId="0" fontId="24" fillId="3" borderId="53" xfId="0" applyFont="1" applyFill="1" applyBorder="1" applyAlignment="1">
      <alignment horizontal="right" vertical="center"/>
    </xf>
    <xf numFmtId="0" fontId="24" fillId="3" borderId="14" xfId="0" applyFont="1" applyFill="1" applyBorder="1" applyAlignment="1">
      <alignment horizontal="right" vertical="center"/>
    </xf>
    <xf numFmtId="0" fontId="24" fillId="3" borderId="38" xfId="0" applyFont="1" applyFill="1" applyBorder="1" applyAlignment="1">
      <alignment horizontal="right" vertical="center"/>
    </xf>
    <xf numFmtId="164" fontId="28" fillId="3" borderId="38" xfId="0" applyNumberFormat="1" applyFont="1" applyFill="1" applyBorder="1" applyAlignment="1">
      <alignment horizontal="right" vertical="center"/>
    </xf>
    <xf numFmtId="0" fontId="17" fillId="2" borderId="51" xfId="0" applyFont="1" applyFill="1" applyBorder="1" applyAlignment="1">
      <alignment horizontal="center" vertical="center"/>
    </xf>
    <xf numFmtId="0" fontId="17" fillId="2" borderId="33" xfId="0" applyFont="1" applyFill="1" applyBorder="1" applyAlignment="1">
      <alignment horizontal="center" vertical="center"/>
    </xf>
    <xf numFmtId="0" fontId="24" fillId="3" borderId="29" xfId="0" applyFont="1" applyFill="1" applyBorder="1" applyAlignment="1">
      <alignment horizontal="center"/>
    </xf>
    <xf numFmtId="0" fontId="17" fillId="2" borderId="19" xfId="0" applyFont="1" applyFill="1" applyBorder="1" applyAlignment="1">
      <alignment horizontal="center"/>
    </xf>
    <xf numFmtId="0" fontId="17" fillId="2" borderId="15" xfId="0" applyFont="1" applyFill="1" applyBorder="1" applyAlignment="1">
      <alignment horizontal="center"/>
    </xf>
    <xf numFmtId="0" fontId="17" fillId="2" borderId="20" xfId="0" applyFont="1" applyFill="1" applyBorder="1" applyAlignment="1">
      <alignment horizontal="center"/>
    </xf>
    <xf numFmtId="0" fontId="17" fillId="5" borderId="0" xfId="0" applyFont="1" applyFill="1" applyAlignment="1">
      <alignment horizontal="center"/>
    </xf>
    <xf numFmtId="0" fontId="24" fillId="3" borderId="0" xfId="0" applyFont="1" applyFill="1" applyAlignment="1">
      <alignment horizontal="center"/>
    </xf>
    <xf numFmtId="0" fontId="24" fillId="3" borderId="37" xfId="0" applyFont="1" applyFill="1" applyBorder="1" applyAlignment="1">
      <alignment horizontal="center"/>
    </xf>
    <xf numFmtId="0" fontId="24" fillId="0" borderId="0" xfId="0" applyFont="1" applyAlignment="1">
      <alignment horizontal="center"/>
    </xf>
    <xf numFmtId="0" fontId="24" fillId="3" borderId="37" xfId="0" applyFont="1" applyFill="1" applyBorder="1"/>
    <xf numFmtId="0" fontId="24" fillId="3" borderId="14" xfId="0" applyFont="1" applyFill="1" applyBorder="1"/>
    <xf numFmtId="0" fontId="24" fillId="3" borderId="14" xfId="0" applyFont="1" applyFill="1" applyBorder="1" applyAlignment="1">
      <alignment horizontal="center"/>
    </xf>
    <xf numFmtId="0" fontId="24" fillId="3" borderId="38" xfId="0" applyFont="1" applyFill="1" applyBorder="1"/>
    <xf numFmtId="0" fontId="24" fillId="2" borderId="20" xfId="0" applyFont="1" applyFill="1" applyBorder="1"/>
    <xf numFmtId="0" fontId="24" fillId="3" borderId="13" xfId="0" applyFont="1" applyFill="1" applyBorder="1" applyAlignment="1">
      <alignment horizontal="center"/>
    </xf>
    <xf numFmtId="0" fontId="24" fillId="3" borderId="3" xfId="0" applyFont="1" applyFill="1" applyBorder="1"/>
    <xf numFmtId="0" fontId="17" fillId="2" borderId="13" xfId="0" applyFont="1" applyFill="1" applyBorder="1" applyAlignment="1">
      <alignment horizontal="center"/>
    </xf>
    <xf numFmtId="0" fontId="24" fillId="2" borderId="13" xfId="0" applyFont="1" applyFill="1" applyBorder="1"/>
    <xf numFmtId="0" fontId="24" fillId="2" borderId="36" xfId="0" applyFont="1" applyFill="1" applyBorder="1"/>
    <xf numFmtId="0" fontId="24" fillId="3" borderId="66" xfId="0" applyFont="1" applyFill="1" applyBorder="1" applyAlignment="1">
      <alignment horizontal="center"/>
    </xf>
    <xf numFmtId="0" fontId="28" fillId="3" borderId="0" xfId="0" applyFont="1" applyFill="1" applyAlignment="1">
      <alignment horizontal="left"/>
    </xf>
    <xf numFmtId="0" fontId="28" fillId="3" borderId="0" xfId="0" applyFont="1" applyFill="1" applyAlignment="1">
      <alignment horizontal="center"/>
    </xf>
    <xf numFmtId="0" fontId="24" fillId="2" borderId="13" xfId="0" applyFont="1" applyFill="1" applyBorder="1" applyAlignment="1">
      <alignment horizontal="center"/>
    </xf>
    <xf numFmtId="0" fontId="24" fillId="3" borderId="13" xfId="0" applyFont="1" applyFill="1" applyBorder="1"/>
    <xf numFmtId="0" fontId="24" fillId="3" borderId="36" xfId="0" applyFont="1" applyFill="1" applyBorder="1"/>
    <xf numFmtId="0" fontId="24" fillId="2" borderId="15" xfId="0" applyFont="1" applyFill="1" applyBorder="1" applyAlignment="1">
      <alignment horizontal="center"/>
    </xf>
    <xf numFmtId="0" fontId="24" fillId="2" borderId="15" xfId="0" applyFont="1" applyFill="1" applyBorder="1"/>
    <xf numFmtId="0" fontId="0" fillId="3" borderId="0" xfId="0" applyFill="1" applyAlignment="1">
      <alignment vertical="center"/>
    </xf>
    <xf numFmtId="0" fontId="24" fillId="3" borderId="4" xfId="0" applyFont="1" applyFill="1" applyBorder="1"/>
    <xf numFmtId="0" fontId="15" fillId="2" borderId="0" xfId="0" applyFont="1" applyFill="1"/>
    <xf numFmtId="0" fontId="30" fillId="2" borderId="0" xfId="0" applyFont="1" applyFill="1"/>
    <xf numFmtId="0" fontId="31" fillId="2" borderId="0" xfId="0" applyFont="1" applyFill="1" applyAlignment="1">
      <alignment horizontal="center"/>
    </xf>
    <xf numFmtId="0" fontId="31" fillId="2" borderId="0" xfId="0" applyFont="1" applyFill="1" applyAlignment="1">
      <alignment horizontal="center" wrapText="1"/>
    </xf>
    <xf numFmtId="0" fontId="30" fillId="3" borderId="0" xfId="0" applyFont="1" applyFill="1"/>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164" fontId="31" fillId="2" borderId="0" xfId="0" applyNumberFormat="1" applyFont="1" applyFill="1" applyAlignment="1">
      <alignment horizontal="center" vertical="center"/>
    </xf>
    <xf numFmtId="0" fontId="30" fillId="3" borderId="0" xfId="0" applyFont="1" applyFill="1" applyAlignment="1">
      <alignment vertical="center"/>
    </xf>
    <xf numFmtId="0" fontId="32" fillId="2" borderId="0" xfId="0" applyFont="1" applyFill="1"/>
    <xf numFmtId="164" fontId="1" fillId="4" borderId="4" xfId="0" applyNumberFormat="1" applyFont="1" applyFill="1" applyBorder="1" applyAlignment="1">
      <alignment horizontal="center" vertical="center"/>
    </xf>
    <xf numFmtId="164" fontId="1" fillId="4" borderId="4" xfId="0" applyNumberFormat="1" applyFont="1" applyFill="1" applyBorder="1" applyAlignment="1">
      <alignment horizontal="center" vertical="center" wrapText="1"/>
    </xf>
    <xf numFmtId="164" fontId="5" fillId="0" borderId="4"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1" fillId="4" borderId="6" xfId="0" applyNumberFormat="1" applyFont="1" applyFill="1" applyBorder="1" applyAlignment="1">
      <alignment horizontal="center" vertical="center" wrapText="1"/>
    </xf>
    <xf numFmtId="16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9" xfId="0" applyFont="1" applyBorder="1" applyAlignment="1">
      <alignment horizontal="center" vertical="center" wrapText="1"/>
    </xf>
    <xf numFmtId="0" fontId="1" fillId="4" borderId="4" xfId="0" applyFont="1" applyFill="1" applyBorder="1" applyAlignment="1">
      <alignment horizontal="center" vertical="top" wrapText="1"/>
    </xf>
    <xf numFmtId="0" fontId="1" fillId="4" borderId="6" xfId="0" applyFont="1" applyFill="1" applyBorder="1" applyAlignment="1">
      <alignment horizontal="center" wrapText="1"/>
    </xf>
    <xf numFmtId="0" fontId="1" fillId="4" borderId="3" xfId="0" applyFont="1" applyFill="1" applyBorder="1" applyAlignment="1">
      <alignment horizontal="center" vertical="top" wrapText="1"/>
    </xf>
    <xf numFmtId="0" fontId="1" fillId="4" borderId="5" xfId="0" applyFont="1" applyFill="1" applyBorder="1" applyAlignment="1">
      <alignment horizontal="center" wrapText="1"/>
    </xf>
    <xf numFmtId="3" fontId="24" fillId="3" borderId="53" xfId="0" applyNumberFormat="1" applyFont="1" applyFill="1" applyBorder="1" applyAlignment="1">
      <alignment vertical="center"/>
    </xf>
    <xf numFmtId="3" fontId="24" fillId="3" borderId="32" xfId="0" applyNumberFormat="1" applyFont="1" applyFill="1" applyBorder="1" applyAlignment="1">
      <alignment horizontal="center" vertical="center"/>
    </xf>
    <xf numFmtId="0" fontId="17" fillId="2" borderId="19" xfId="0" applyFont="1" applyFill="1" applyBorder="1" applyAlignment="1">
      <alignment vertical="center"/>
    </xf>
    <xf numFmtId="0" fontId="17" fillId="2" borderId="15" xfId="0" applyFont="1" applyFill="1" applyBorder="1" applyAlignment="1">
      <alignment vertical="center"/>
    </xf>
    <xf numFmtId="0" fontId="17" fillId="2" borderId="20" xfId="0" applyFont="1" applyFill="1" applyBorder="1" applyAlignment="1">
      <alignment vertical="center"/>
    </xf>
    <xf numFmtId="0" fontId="17" fillId="2" borderId="15" xfId="0" applyFont="1" applyFill="1" applyBorder="1"/>
    <xf numFmtId="0" fontId="17" fillId="2" borderId="20" xfId="0" applyFont="1" applyFill="1" applyBorder="1"/>
    <xf numFmtId="0" fontId="24" fillId="3" borderId="19" xfId="0" applyFont="1" applyFill="1" applyBorder="1"/>
    <xf numFmtId="0" fontId="24" fillId="3" borderId="15" xfId="0" applyFont="1" applyFill="1" applyBorder="1"/>
    <xf numFmtId="0" fontId="24" fillId="3" borderId="20" xfId="0" applyFont="1" applyFill="1" applyBorder="1"/>
    <xf numFmtId="164" fontId="24" fillId="0" borderId="19" xfId="0" applyNumberFormat="1" applyFont="1" applyBorder="1"/>
    <xf numFmtId="164" fontId="24" fillId="0" borderId="32" xfId="0" applyNumberFormat="1" applyFont="1" applyBorder="1"/>
    <xf numFmtId="0" fontId="33" fillId="3" borderId="65" xfId="0" applyFont="1" applyFill="1" applyBorder="1" applyAlignment="1">
      <alignment horizontal="center"/>
    </xf>
    <xf numFmtId="0" fontId="33" fillId="3" borderId="67" xfId="0" applyFont="1" applyFill="1" applyBorder="1" applyAlignment="1">
      <alignment horizontal="center"/>
    </xf>
    <xf numFmtId="0" fontId="10" fillId="3" borderId="0" xfId="0" applyFont="1" applyFill="1" applyAlignment="1">
      <alignment horizontal="left" vertical="center"/>
    </xf>
    <xf numFmtId="0" fontId="5" fillId="3" borderId="26" xfId="0" applyFont="1" applyFill="1" applyBorder="1" applyAlignment="1">
      <alignment vertical="center"/>
    </xf>
    <xf numFmtId="0" fontId="5" fillId="3" borderId="40" xfId="0" applyFont="1" applyFill="1" applyBorder="1" applyAlignment="1">
      <alignment vertical="center"/>
    </xf>
    <xf numFmtId="0" fontId="1" fillId="3" borderId="2" xfId="0" applyFont="1" applyFill="1" applyBorder="1" applyAlignment="1">
      <alignment vertical="center"/>
    </xf>
    <xf numFmtId="0" fontId="1" fillId="0" borderId="10" xfId="0" applyFont="1" applyBorder="1" applyAlignment="1">
      <alignment horizontal="center"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4" borderId="18" xfId="0" applyFont="1" applyFill="1" applyBorder="1" applyAlignment="1">
      <alignment horizontal="left" vertical="center" wrapText="1"/>
    </xf>
    <xf numFmtId="0" fontId="1" fillId="4" borderId="4" xfId="0" applyFont="1" applyFill="1" applyBorder="1" applyAlignment="1">
      <alignment horizontal="left" vertical="center"/>
    </xf>
    <xf numFmtId="0" fontId="21" fillId="4" borderId="4" xfId="0" applyFont="1" applyFill="1" applyBorder="1" applyAlignment="1">
      <alignment horizontal="left" vertical="center" wrapText="1"/>
    </xf>
    <xf numFmtId="0" fontId="21" fillId="0" borderId="4" xfId="0" applyFont="1" applyBorder="1" applyAlignment="1">
      <alignment horizontal="left" vertical="center" wrapText="1"/>
    </xf>
    <xf numFmtId="0" fontId="1" fillId="2" borderId="2" xfId="0" applyFont="1" applyFill="1" applyBorder="1" applyAlignment="1">
      <alignment horizontal="left" vertical="center"/>
    </xf>
    <xf numFmtId="0" fontId="24" fillId="3" borderId="76" xfId="0" applyFont="1" applyFill="1" applyBorder="1" applyAlignment="1">
      <alignment horizontal="center"/>
    </xf>
    <xf numFmtId="0" fontId="24" fillId="3" borderId="77" xfId="0" applyFont="1" applyFill="1" applyBorder="1" applyAlignment="1">
      <alignment horizontal="center"/>
    </xf>
    <xf numFmtId="0" fontId="24" fillId="3" borderId="77" xfId="0" applyFont="1" applyFill="1" applyBorder="1"/>
    <xf numFmtId="0" fontId="24" fillId="3" borderId="78" xfId="0" applyFont="1" applyFill="1" applyBorder="1"/>
    <xf numFmtId="0" fontId="24" fillId="3" borderId="79" xfId="0" applyFont="1" applyFill="1" applyBorder="1" applyAlignment="1">
      <alignment horizontal="center"/>
    </xf>
    <xf numFmtId="0" fontId="24" fillId="3" borderId="4" xfId="0" applyFont="1" applyFill="1" applyBorder="1" applyAlignment="1">
      <alignment horizontal="center"/>
    </xf>
    <xf numFmtId="0" fontId="24" fillId="3" borderId="80" xfId="0" applyFont="1" applyFill="1" applyBorder="1"/>
    <xf numFmtId="2" fontId="1" fillId="3" borderId="7" xfId="0" applyNumberFormat="1" applyFont="1" applyFill="1" applyBorder="1" applyAlignment="1">
      <alignment horizontal="center" vertical="center" wrapText="1"/>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8" fillId="5" borderId="30" xfId="0" applyFont="1" applyFill="1" applyBorder="1" applyAlignment="1">
      <alignment vertical="center" wrapText="1"/>
    </xf>
    <xf numFmtId="0" fontId="2" fillId="5" borderId="31" xfId="0" applyFont="1" applyFill="1" applyBorder="1" applyAlignment="1">
      <alignment horizontal="center" vertical="center" wrapText="1"/>
    </xf>
    <xf numFmtId="0" fontId="5" fillId="4" borderId="0" xfId="0" applyFont="1" applyFill="1" applyAlignment="1">
      <alignment vertical="center"/>
    </xf>
    <xf numFmtId="0" fontId="5" fillId="4" borderId="0" xfId="0" applyFont="1" applyFill="1" applyAlignment="1">
      <alignment horizontal="center" vertical="center"/>
    </xf>
    <xf numFmtId="164" fontId="5" fillId="4" borderId="0" xfId="0" applyNumberFormat="1" applyFont="1" applyFill="1" applyAlignment="1">
      <alignment vertical="center"/>
    </xf>
    <xf numFmtId="0" fontId="5" fillId="4" borderId="26" xfId="0" applyFont="1" applyFill="1" applyBorder="1" applyAlignment="1">
      <alignment vertical="center"/>
    </xf>
    <xf numFmtId="0" fontId="5" fillId="4" borderId="23" xfId="0" applyFont="1" applyFill="1" applyBorder="1" applyAlignment="1">
      <alignment vertical="center"/>
    </xf>
    <xf numFmtId="0" fontId="5" fillId="4" borderId="24" xfId="0" applyFont="1" applyFill="1" applyBorder="1" applyAlignment="1">
      <alignment vertical="center"/>
    </xf>
    <xf numFmtId="0" fontId="5" fillId="4" borderId="25" xfId="0" applyFont="1" applyFill="1" applyBorder="1" applyAlignment="1">
      <alignment vertical="center"/>
    </xf>
    <xf numFmtId="0" fontId="5" fillId="4" borderId="81" xfId="0" applyFont="1" applyFill="1" applyBorder="1" applyAlignment="1">
      <alignment vertical="center"/>
    </xf>
    <xf numFmtId="0" fontId="5" fillId="4" borderId="83" xfId="0" applyFont="1" applyFill="1" applyBorder="1" applyAlignment="1">
      <alignment vertical="center"/>
    </xf>
    <xf numFmtId="0" fontId="5" fillId="4" borderId="83" xfId="0" applyFont="1" applyFill="1" applyBorder="1" applyAlignment="1">
      <alignment horizontal="center" vertical="center"/>
    </xf>
    <xf numFmtId="164" fontId="5" fillId="4" borderId="83" xfId="0" applyNumberFormat="1" applyFont="1" applyFill="1" applyBorder="1" applyAlignment="1">
      <alignment vertical="center"/>
    </xf>
    <xf numFmtId="0" fontId="5" fillId="4" borderId="82" xfId="0" applyFont="1" applyFill="1" applyBorder="1" applyAlignment="1">
      <alignment vertical="center"/>
    </xf>
    <xf numFmtId="0" fontId="8" fillId="4" borderId="26" xfId="0" applyFont="1" applyFill="1" applyBorder="1" applyAlignment="1">
      <alignment horizontal="center" vertical="center"/>
    </xf>
    <xf numFmtId="9" fontId="5" fillId="4" borderId="40" xfId="2" applyFont="1" applyFill="1" applyBorder="1" applyAlignment="1">
      <alignment horizontal="center" vertical="center"/>
    </xf>
    <xf numFmtId="9" fontId="5" fillId="4" borderId="21" xfId="2" applyFont="1" applyFill="1" applyBorder="1" applyAlignment="1">
      <alignment horizontal="center" vertical="center"/>
    </xf>
    <xf numFmtId="0" fontId="10" fillId="4" borderId="0" xfId="0" applyFont="1" applyFill="1" applyAlignment="1">
      <alignment vertical="center"/>
    </xf>
    <xf numFmtId="0" fontId="10" fillId="4" borderId="22" xfId="0" applyFont="1" applyFill="1" applyBorder="1" applyAlignment="1">
      <alignment horizontal="left" vertical="center"/>
    </xf>
    <xf numFmtId="0" fontId="5" fillId="4" borderId="26" xfId="0" applyFont="1" applyFill="1" applyBorder="1" applyAlignment="1">
      <alignment horizontal="left" vertical="center"/>
    </xf>
    <xf numFmtId="0" fontId="24" fillId="3" borderId="78" xfId="0" applyFont="1" applyFill="1" applyBorder="1" applyAlignment="1">
      <alignment horizontal="center"/>
    </xf>
    <xf numFmtId="0" fontId="24" fillId="3" borderId="80" xfId="0" applyFont="1" applyFill="1" applyBorder="1" applyAlignment="1">
      <alignment horizontal="center"/>
    </xf>
    <xf numFmtId="0" fontId="10" fillId="4" borderId="26" xfId="0" applyFont="1" applyFill="1" applyBorder="1" applyAlignment="1">
      <alignment horizontal="left" vertical="center"/>
    </xf>
    <xf numFmtId="9" fontId="5" fillId="4" borderId="83" xfId="2" applyFont="1" applyFill="1" applyBorder="1" applyAlignment="1">
      <alignment horizontal="center" vertical="center"/>
    </xf>
    <xf numFmtId="9" fontId="5" fillId="4" borderId="28" xfId="2" applyFont="1" applyFill="1" applyBorder="1" applyAlignment="1">
      <alignment horizontal="center" vertical="center"/>
    </xf>
    <xf numFmtId="0" fontId="5" fillId="5" borderId="40" xfId="0" applyFont="1" applyFill="1" applyBorder="1" applyAlignment="1">
      <alignment vertical="center"/>
    </xf>
    <xf numFmtId="0" fontId="2" fillId="5" borderId="40" xfId="0" applyFont="1" applyFill="1" applyBorder="1" applyAlignment="1">
      <alignment horizontal="center" vertical="center" wrapText="1"/>
    </xf>
    <xf numFmtId="0" fontId="8" fillId="5" borderId="22" xfId="0" applyFont="1" applyFill="1" applyBorder="1" applyAlignment="1">
      <alignment vertical="center"/>
    </xf>
    <xf numFmtId="0" fontId="8" fillId="5" borderId="23" xfId="0" applyFont="1" applyFill="1" applyBorder="1" applyAlignment="1">
      <alignment vertical="center"/>
    </xf>
    <xf numFmtId="0" fontId="8" fillId="5" borderId="24" xfId="0" applyFont="1" applyFill="1" applyBorder="1" applyAlignment="1">
      <alignment vertical="center"/>
    </xf>
    <xf numFmtId="0" fontId="8" fillId="5" borderId="25" xfId="0" applyFont="1" applyFill="1" applyBorder="1" applyAlignment="1">
      <alignment vertical="center"/>
    </xf>
    <xf numFmtId="0" fontId="5" fillId="3" borderId="14" xfId="0" applyFont="1" applyFill="1" applyBorder="1" applyAlignment="1">
      <alignment vertical="center"/>
    </xf>
    <xf numFmtId="0" fontId="5" fillId="3" borderId="14" xfId="0" applyFont="1" applyFill="1" applyBorder="1" applyAlignment="1">
      <alignment horizontal="center" vertical="center"/>
    </xf>
    <xf numFmtId="164" fontId="5" fillId="3" borderId="14" xfId="0" applyNumberFormat="1" applyFont="1" applyFill="1" applyBorder="1" applyAlignment="1">
      <alignment vertical="center"/>
    </xf>
    <xf numFmtId="9" fontId="5" fillId="4" borderId="82" xfId="2" applyFont="1" applyFill="1" applyBorder="1" applyAlignment="1">
      <alignment horizontal="center" vertical="center"/>
    </xf>
    <xf numFmtId="0" fontId="2" fillId="5" borderId="29" xfId="0" applyFont="1" applyFill="1" applyBorder="1" applyAlignment="1">
      <alignment horizontal="center" vertical="center"/>
    </xf>
    <xf numFmtId="0" fontId="2" fillId="4" borderId="23" xfId="0" applyFont="1" applyFill="1" applyBorder="1" applyAlignment="1">
      <alignment horizontal="center"/>
    </xf>
    <xf numFmtId="0" fontId="2" fillId="4" borderId="25" xfId="0" applyFont="1" applyFill="1" applyBorder="1" applyAlignment="1">
      <alignment horizontal="center"/>
    </xf>
    <xf numFmtId="0" fontId="2" fillId="4" borderId="82" xfId="0" applyFont="1" applyFill="1" applyBorder="1" applyAlignment="1">
      <alignment horizontal="center"/>
    </xf>
    <xf numFmtId="164" fontId="5" fillId="3" borderId="28" xfId="0" applyNumberFormat="1" applyFont="1" applyFill="1" applyBorder="1" applyAlignment="1">
      <alignment horizontal="center" vertical="center"/>
    </xf>
    <xf numFmtId="0" fontId="1" fillId="3" borderId="0" xfId="0" applyFont="1" applyFill="1" applyAlignment="1">
      <alignment horizontal="center" vertical="top"/>
    </xf>
    <xf numFmtId="164" fontId="1" fillId="3" borderId="0" xfId="0" applyNumberFormat="1" applyFont="1" applyFill="1" applyAlignment="1">
      <alignment horizontal="center" vertical="top"/>
    </xf>
    <xf numFmtId="164" fontId="1" fillId="3" borderId="0" xfId="0" applyNumberFormat="1" applyFont="1" applyFill="1" applyAlignment="1">
      <alignment vertical="top"/>
    </xf>
    <xf numFmtId="164" fontId="24" fillId="0" borderId="14" xfId="1" applyNumberFormat="1" applyFont="1" applyBorder="1" applyAlignment="1">
      <alignment vertical="top"/>
    </xf>
    <xf numFmtId="164" fontId="24" fillId="0" borderId="0" xfId="1" applyNumberFormat="1" applyFont="1" applyBorder="1" applyAlignment="1">
      <alignment vertical="top"/>
    </xf>
    <xf numFmtId="164" fontId="24" fillId="0" borderId="37" xfId="1" applyNumberFormat="1" applyFont="1" applyBorder="1" applyAlignment="1">
      <alignment vertical="top"/>
    </xf>
    <xf numFmtId="0" fontId="17" fillId="2" borderId="33" xfId="0" applyFont="1" applyFill="1" applyBorder="1" applyAlignment="1">
      <alignment horizontal="center"/>
    </xf>
    <xf numFmtId="0" fontId="17" fillId="2" borderId="32" xfId="0" applyFont="1" applyFill="1" applyBorder="1" applyAlignment="1">
      <alignment horizontal="center"/>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xf>
    <xf numFmtId="0" fontId="1" fillId="4" borderId="3"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5" xfId="0" applyFont="1" applyFill="1" applyBorder="1" applyAlignment="1">
      <alignment horizontal="left" vertical="center" wrapText="1"/>
    </xf>
    <xf numFmtId="2" fontId="24" fillId="3" borderId="0" xfId="0" applyNumberFormat="1" applyFont="1" applyFill="1"/>
    <xf numFmtId="164" fontId="24" fillId="11" borderId="36" xfId="0" applyNumberFormat="1" applyFont="1" applyFill="1" applyBorder="1" applyAlignment="1">
      <alignment horizontal="center"/>
    </xf>
    <xf numFmtId="164" fontId="24" fillId="11" borderId="37" xfId="0" applyNumberFormat="1" applyFont="1" applyFill="1" applyBorder="1" applyAlignment="1">
      <alignment horizontal="center"/>
    </xf>
    <xf numFmtId="0" fontId="40" fillId="3" borderId="0" xfId="0" applyFont="1" applyFill="1" applyAlignment="1">
      <alignment horizontal="left" vertical="center"/>
    </xf>
    <xf numFmtId="0" fontId="23" fillId="2" borderId="0" xfId="0" applyFont="1" applyFill="1" applyAlignment="1">
      <alignment horizontal="left" vertical="center"/>
    </xf>
    <xf numFmtId="0" fontId="24" fillId="3" borderId="0" xfId="0" applyFont="1" applyFill="1" applyAlignment="1">
      <alignment horizontal="left" vertical="center" wrapText="1"/>
    </xf>
    <xf numFmtId="0" fontId="24" fillId="3" borderId="51" xfId="0" applyFont="1" applyFill="1" applyBorder="1" applyAlignment="1">
      <alignment horizontal="left" vertical="center" wrapText="1"/>
    </xf>
    <xf numFmtId="0" fontId="24" fillId="3" borderId="13"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52" xfId="0" applyFont="1" applyFill="1" applyBorder="1" applyAlignment="1">
      <alignment horizontal="left" vertical="center" wrapText="1"/>
    </xf>
    <xf numFmtId="0" fontId="24" fillId="3" borderId="37" xfId="0" applyFont="1" applyFill="1" applyBorder="1" applyAlignment="1">
      <alignment horizontal="left" vertical="center" wrapText="1"/>
    </xf>
    <xf numFmtId="0" fontId="24" fillId="3" borderId="5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24" fillId="3" borderId="13" xfId="0" applyFont="1" applyFill="1" applyBorder="1" applyAlignment="1">
      <alignment horizontal="left" vertical="center"/>
    </xf>
    <xf numFmtId="0" fontId="24" fillId="3" borderId="36" xfId="0" applyFont="1" applyFill="1" applyBorder="1" applyAlignment="1">
      <alignment horizontal="left" vertical="center"/>
    </xf>
    <xf numFmtId="0" fontId="24" fillId="3" borderId="0" xfId="0" applyFont="1" applyFill="1" applyAlignment="1">
      <alignment horizontal="left" vertical="center"/>
    </xf>
    <xf numFmtId="0" fontId="24" fillId="3" borderId="37" xfId="0" applyFont="1" applyFill="1" applyBorder="1" applyAlignment="1">
      <alignment horizontal="left" vertical="center"/>
    </xf>
    <xf numFmtId="0" fontId="24" fillId="3" borderId="14" xfId="0" applyFont="1" applyFill="1" applyBorder="1" applyAlignment="1">
      <alignment horizontal="left" vertical="center"/>
    </xf>
    <xf numFmtId="0" fontId="24" fillId="3" borderId="38" xfId="0" applyFont="1" applyFill="1" applyBorder="1" applyAlignment="1">
      <alignment horizontal="left" vertical="center"/>
    </xf>
    <xf numFmtId="0" fontId="24" fillId="3" borderId="51" xfId="0" applyFont="1" applyFill="1" applyBorder="1" applyAlignment="1">
      <alignment horizontal="left" vertical="center"/>
    </xf>
    <xf numFmtId="0" fontId="24" fillId="3" borderId="52" xfId="0" applyFont="1" applyFill="1" applyBorder="1" applyAlignment="1">
      <alignment horizontal="left" vertical="center"/>
    </xf>
    <xf numFmtId="0" fontId="24" fillId="3" borderId="53" xfId="0" applyFont="1" applyFill="1" applyBorder="1" applyAlignment="1">
      <alignment horizontal="left" vertical="center"/>
    </xf>
    <xf numFmtId="0" fontId="17" fillId="2" borderId="51" xfId="0" applyFont="1" applyFill="1" applyBorder="1" applyAlignment="1">
      <alignment horizontal="left"/>
    </xf>
    <xf numFmtId="0" fontId="17" fillId="2" borderId="13" xfId="0" applyFont="1" applyFill="1" applyBorder="1" applyAlignment="1">
      <alignment horizontal="left"/>
    </xf>
    <xf numFmtId="0" fontId="24" fillId="3" borderId="69" xfId="0" applyFont="1" applyFill="1" applyBorder="1" applyAlignment="1">
      <alignment horizontal="left" vertical="center"/>
    </xf>
    <xf numFmtId="0" fontId="24" fillId="3" borderId="70" xfId="0" applyFont="1" applyFill="1" applyBorder="1" applyAlignment="1">
      <alignment horizontal="left" vertical="center"/>
    </xf>
    <xf numFmtId="0" fontId="24" fillId="3" borderId="72" xfId="0" applyFont="1" applyFill="1" applyBorder="1" applyAlignment="1">
      <alignment horizontal="left" vertical="center"/>
    </xf>
    <xf numFmtId="0" fontId="24" fillId="3" borderId="73" xfId="0" applyFont="1" applyFill="1" applyBorder="1" applyAlignment="1">
      <alignment horizontal="left" vertical="center"/>
    </xf>
    <xf numFmtId="0" fontId="24" fillId="3" borderId="68" xfId="0" applyFont="1" applyFill="1" applyBorder="1" applyAlignment="1">
      <alignment horizontal="left" vertical="center"/>
    </xf>
    <xf numFmtId="0" fontId="24" fillId="3" borderId="71" xfId="0" applyFont="1" applyFill="1" applyBorder="1" applyAlignment="1">
      <alignment horizontal="left" vertical="center"/>
    </xf>
    <xf numFmtId="0" fontId="16" fillId="3" borderId="0" xfId="0" applyFont="1" applyFill="1" applyAlignment="1">
      <alignment horizontal="left" vertical="center" wrapText="1"/>
    </xf>
    <xf numFmtId="0" fontId="17" fillId="5" borderId="41" xfId="0" applyFont="1" applyFill="1" applyBorder="1" applyAlignment="1">
      <alignment horizontal="left" vertical="center"/>
    </xf>
    <xf numFmtId="0" fontId="17" fillId="5" borderId="42" xfId="0" applyFont="1" applyFill="1" applyBorder="1" applyAlignment="1">
      <alignment horizontal="left" vertical="center"/>
    </xf>
    <xf numFmtId="0" fontId="17" fillId="5" borderId="46" xfId="0" applyFont="1" applyFill="1" applyBorder="1" applyAlignment="1">
      <alignment horizontal="left" vertical="center"/>
    </xf>
    <xf numFmtId="0" fontId="17" fillId="5" borderId="39" xfId="0" applyFont="1" applyFill="1" applyBorder="1" applyAlignment="1">
      <alignment horizontal="left" vertical="center"/>
    </xf>
    <xf numFmtId="0" fontId="17" fillId="5" borderId="42" xfId="0" applyFont="1" applyFill="1" applyBorder="1" applyAlignment="1">
      <alignment horizontal="center" vertical="center"/>
    </xf>
    <xf numFmtId="0" fontId="17" fillId="5" borderId="0" xfId="0" applyFont="1" applyFill="1" applyAlignment="1">
      <alignment horizontal="center" vertical="center"/>
    </xf>
    <xf numFmtId="0" fontId="17" fillId="5" borderId="43" xfId="0" applyFont="1" applyFill="1" applyBorder="1" applyAlignment="1">
      <alignment horizontal="center" vertical="center"/>
    </xf>
    <xf numFmtId="0" fontId="17" fillId="5" borderId="45" xfId="0" applyFont="1" applyFill="1" applyBorder="1" applyAlignment="1">
      <alignment horizontal="center" vertical="center"/>
    </xf>
    <xf numFmtId="0" fontId="17" fillId="5" borderId="4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24" fillId="3" borderId="50" xfId="0" applyFont="1" applyFill="1" applyBorder="1" applyAlignment="1">
      <alignment horizontal="center" vertical="center" textRotation="45"/>
    </xf>
    <xf numFmtId="0" fontId="24" fillId="3" borderId="48" xfId="0" applyFont="1" applyFill="1" applyBorder="1" applyAlignment="1">
      <alignment horizontal="center" vertical="center" textRotation="45"/>
    </xf>
    <xf numFmtId="0" fontId="24" fillId="3" borderId="49" xfId="0" applyFont="1" applyFill="1" applyBorder="1" applyAlignment="1">
      <alignment horizontal="center" vertical="center" textRotation="45"/>
    </xf>
    <xf numFmtId="0" fontId="17" fillId="5" borderId="43" xfId="0" applyFont="1" applyFill="1" applyBorder="1" applyAlignment="1">
      <alignment horizontal="center" vertical="center" wrapText="1"/>
    </xf>
    <xf numFmtId="0" fontId="17" fillId="5" borderId="47" xfId="0" applyFont="1" applyFill="1" applyBorder="1" applyAlignment="1">
      <alignment horizontal="center" vertical="center" wrapText="1"/>
    </xf>
    <xf numFmtId="44" fontId="17" fillId="5" borderId="42" xfId="0" applyNumberFormat="1" applyFont="1" applyFill="1" applyBorder="1" applyAlignment="1">
      <alignment horizontal="left" vertical="center"/>
    </xf>
    <xf numFmtId="44" fontId="17" fillId="5" borderId="39" xfId="0" applyNumberFormat="1" applyFont="1" applyFill="1" applyBorder="1" applyAlignment="1">
      <alignment horizontal="left" vertical="center"/>
    </xf>
    <xf numFmtId="0" fontId="24" fillId="9" borderId="0" xfId="0" applyFont="1" applyFill="1" applyAlignment="1">
      <alignment horizontal="left"/>
    </xf>
    <xf numFmtId="0" fontId="24" fillId="3" borderId="42" xfId="0" applyFont="1" applyFill="1" applyBorder="1" applyAlignment="1">
      <alignment horizontal="left" wrapText="1"/>
    </xf>
    <xf numFmtId="0" fontId="24" fillId="3" borderId="0" xfId="0" applyFont="1" applyFill="1" applyAlignment="1">
      <alignment horizontal="left" wrapText="1"/>
    </xf>
    <xf numFmtId="0" fontId="24" fillId="9" borderId="54" xfId="0" applyFont="1" applyFill="1" applyBorder="1" applyAlignment="1">
      <alignment horizontal="left"/>
    </xf>
    <xf numFmtId="0" fontId="17" fillId="8" borderId="74" xfId="0" applyFont="1" applyFill="1" applyBorder="1" applyAlignment="1">
      <alignment horizontal="center" vertical="center" wrapText="1"/>
    </xf>
    <xf numFmtId="0" fontId="17" fillId="8" borderId="75" xfId="0" applyFont="1" applyFill="1" applyBorder="1" applyAlignment="1">
      <alignment horizontal="center" vertical="center" wrapText="1"/>
    </xf>
    <xf numFmtId="0" fontId="17" fillId="8" borderId="54" xfId="0" applyFont="1" applyFill="1" applyBorder="1" applyAlignment="1">
      <alignment horizontal="center" vertical="center" wrapText="1"/>
    </xf>
    <xf numFmtId="0" fontId="17" fillId="8" borderId="63" xfId="0" applyFont="1" applyFill="1" applyBorder="1" applyAlignment="1">
      <alignment horizontal="center" vertical="center" wrapText="1"/>
    </xf>
    <xf numFmtId="0" fontId="17" fillId="8" borderId="55" xfId="0" applyFont="1" applyFill="1" applyBorder="1" applyAlignment="1">
      <alignment horizontal="center" vertical="center" wrapText="1"/>
    </xf>
    <xf numFmtId="0" fontId="17" fillId="8" borderId="64" xfId="0" applyFont="1" applyFill="1" applyBorder="1" applyAlignment="1">
      <alignment horizontal="center" vertical="center" wrapText="1"/>
    </xf>
    <xf numFmtId="0" fontId="17" fillId="8" borderId="54" xfId="0" applyFont="1" applyFill="1" applyBorder="1" applyAlignment="1">
      <alignment horizontal="center" wrapText="1"/>
    </xf>
    <xf numFmtId="0" fontId="17" fillId="8" borderId="63" xfId="0" applyFont="1" applyFill="1" applyBorder="1" applyAlignment="1">
      <alignment horizontal="center" wrapText="1"/>
    </xf>
    <xf numFmtId="0" fontId="17" fillId="2" borderId="13"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38" xfId="0" applyFont="1" applyFill="1" applyBorder="1" applyAlignment="1">
      <alignment horizontal="center" vertical="center"/>
    </xf>
    <xf numFmtId="0" fontId="23" fillId="2" borderId="0" xfId="0" applyFont="1" applyFill="1" applyAlignment="1">
      <alignment horizontal="left" vertical="center" wrapText="1"/>
    </xf>
    <xf numFmtId="0" fontId="17" fillId="2" borderId="13" xfId="0" applyFont="1" applyFill="1" applyBorder="1" applyAlignment="1">
      <alignment horizontal="left" vertical="center"/>
    </xf>
    <xf numFmtId="0" fontId="17" fillId="2" borderId="0" xfId="0" applyFont="1" applyFill="1" applyAlignment="1">
      <alignment horizontal="left" vertical="center"/>
    </xf>
    <xf numFmtId="0" fontId="17" fillId="2" borderId="14" xfId="0" applyFont="1" applyFill="1" applyBorder="1" applyAlignment="1">
      <alignment horizontal="left" vertical="center"/>
    </xf>
    <xf numFmtId="0" fontId="17" fillId="2" borderId="13"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4" xfId="0" applyFont="1" applyFill="1" applyBorder="1" applyAlignment="1">
      <alignment horizontal="center" vertical="center" wrapText="1"/>
    </xf>
    <xf numFmtId="0" fontId="17" fillId="2" borderId="0" xfId="0" applyFont="1" applyFill="1" applyAlignment="1">
      <alignment horizontal="center" vertical="center"/>
    </xf>
    <xf numFmtId="0" fontId="24" fillId="0" borderId="19" xfId="0" applyFont="1" applyBorder="1" applyAlignment="1">
      <alignment horizontal="left"/>
    </xf>
    <xf numFmtId="0" fontId="24" fillId="0" borderId="15" xfId="0" applyFont="1" applyBorder="1" applyAlignment="1">
      <alignment horizontal="left"/>
    </xf>
    <xf numFmtId="0" fontId="17" fillId="2" borderId="33" xfId="0" applyFont="1" applyFill="1" applyBorder="1" applyAlignment="1">
      <alignment horizontal="left" vertical="center"/>
    </xf>
    <xf numFmtId="0" fontId="17" fillId="2" borderId="51" xfId="0" applyFont="1" applyFill="1" applyBorder="1" applyAlignment="1">
      <alignment horizontal="left" vertical="center"/>
    </xf>
    <xf numFmtId="0" fontId="24" fillId="3" borderId="19" xfId="0" applyFont="1" applyFill="1" applyBorder="1" applyAlignment="1">
      <alignment horizontal="left" vertical="center"/>
    </xf>
    <xf numFmtId="0" fontId="24" fillId="3" borderId="15"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20" xfId="0" applyFont="1" applyFill="1" applyBorder="1" applyAlignment="1">
      <alignment horizontal="left" vertical="center"/>
    </xf>
    <xf numFmtId="0" fontId="24" fillId="3" borderId="51" xfId="0" applyFont="1" applyFill="1" applyBorder="1" applyAlignment="1">
      <alignment horizontal="left"/>
    </xf>
    <xf numFmtId="0" fontId="24" fillId="3" borderId="36" xfId="0" applyFont="1" applyFill="1" applyBorder="1" applyAlignment="1">
      <alignment horizontal="left"/>
    </xf>
    <xf numFmtId="0" fontId="24" fillId="3" borderId="52" xfId="0" applyFont="1" applyFill="1" applyBorder="1" applyAlignment="1">
      <alignment horizontal="left"/>
    </xf>
    <xf numFmtId="0" fontId="24" fillId="3" borderId="37" xfId="0" applyFont="1" applyFill="1" applyBorder="1" applyAlignment="1">
      <alignment horizontal="left"/>
    </xf>
    <xf numFmtId="0" fontId="24" fillId="3" borderId="53" xfId="0" applyFont="1" applyFill="1" applyBorder="1" applyAlignment="1">
      <alignment horizontal="left"/>
    </xf>
    <xf numFmtId="0" fontId="24" fillId="3" borderId="38" xfId="0" applyFont="1" applyFill="1" applyBorder="1" applyAlignment="1">
      <alignment horizontal="left"/>
    </xf>
    <xf numFmtId="0" fontId="38" fillId="3" borderId="53" xfId="0" applyFont="1" applyFill="1" applyBorder="1" applyAlignment="1">
      <alignment horizontal="left" vertical="center" wrapText="1"/>
    </xf>
    <xf numFmtId="0" fontId="38" fillId="3" borderId="14" xfId="0" applyFont="1" applyFill="1" applyBorder="1" applyAlignment="1">
      <alignment horizontal="left" vertical="center" wrapText="1"/>
    </xf>
    <xf numFmtId="0" fontId="37" fillId="3" borderId="0" xfId="0" applyFont="1" applyFill="1" applyAlignment="1">
      <alignment horizontal="left" vertical="center" wrapText="1"/>
    </xf>
    <xf numFmtId="0" fontId="17" fillId="2" borderId="19" xfId="0" applyFont="1" applyFill="1" applyBorder="1" applyAlignment="1">
      <alignment horizontal="center"/>
    </xf>
    <xf numFmtId="0" fontId="17" fillId="2" borderId="15" xfId="0" applyFont="1" applyFill="1" applyBorder="1" applyAlignment="1">
      <alignment horizontal="center"/>
    </xf>
    <xf numFmtId="0" fontId="17" fillId="2" borderId="20" xfId="0" applyFont="1" applyFill="1" applyBorder="1" applyAlignment="1">
      <alignment horizontal="center"/>
    </xf>
    <xf numFmtId="0" fontId="36" fillId="10" borderId="51" xfId="0" applyFont="1" applyFill="1" applyBorder="1" applyAlignment="1">
      <alignment horizontal="left" vertical="center" wrapText="1"/>
    </xf>
    <xf numFmtId="0" fontId="36" fillId="10" borderId="13" xfId="0" applyFont="1" applyFill="1" applyBorder="1" applyAlignment="1">
      <alignment horizontal="left" vertical="center" wrapText="1"/>
    </xf>
    <xf numFmtId="0" fontId="37" fillId="3" borderId="84" xfId="0" applyFont="1" applyFill="1" applyBorder="1" applyAlignment="1">
      <alignment horizontal="left" vertical="center" wrapText="1"/>
    </xf>
    <xf numFmtId="0" fontId="37" fillId="3" borderId="18" xfId="0" applyFont="1" applyFill="1" applyBorder="1" applyAlignment="1">
      <alignment horizontal="left" vertical="center" wrapText="1"/>
    </xf>
    <xf numFmtId="0" fontId="39" fillId="3" borderId="84" xfId="0" applyFont="1" applyFill="1" applyBorder="1" applyAlignment="1">
      <alignment horizontal="left" vertical="center" wrapText="1"/>
    </xf>
    <xf numFmtId="0" fontId="39" fillId="3" borderId="18" xfId="0" applyFont="1" applyFill="1" applyBorder="1" applyAlignment="1">
      <alignment horizontal="left" vertical="center" wrapText="1"/>
    </xf>
    <xf numFmtId="0" fontId="37" fillId="3" borderId="85" xfId="0" applyFont="1" applyFill="1" applyBorder="1" applyAlignment="1">
      <alignment horizontal="left" vertical="center" wrapText="1"/>
    </xf>
    <xf numFmtId="0" fontId="37" fillId="3" borderId="18" xfId="0" applyFont="1" applyFill="1" applyBorder="1" applyAlignment="1">
      <alignment horizontal="left" vertical="center"/>
    </xf>
    <xf numFmtId="0" fontId="37" fillId="3" borderId="85" xfId="0" applyFont="1" applyFill="1" applyBorder="1" applyAlignment="1">
      <alignment horizontal="left" vertical="center"/>
    </xf>
    <xf numFmtId="0" fontId="37" fillId="3" borderId="0" xfId="0" applyFont="1" applyFill="1" applyAlignment="1">
      <alignment horizontal="left" vertical="center"/>
    </xf>
    <xf numFmtId="0" fontId="37" fillId="3" borderId="37" xfId="0" applyFont="1" applyFill="1" applyBorder="1" applyAlignment="1">
      <alignment horizontal="left" vertical="center"/>
    </xf>
    <xf numFmtId="0" fontId="36" fillId="10" borderId="36" xfId="0" applyFont="1" applyFill="1" applyBorder="1" applyAlignment="1">
      <alignment horizontal="left" vertical="center" wrapText="1"/>
    </xf>
    <xf numFmtId="8" fontId="39" fillId="3" borderId="84" xfId="0" applyNumberFormat="1" applyFont="1" applyFill="1" applyBorder="1" applyAlignment="1">
      <alignment horizontal="left" vertical="center" wrapText="1"/>
    </xf>
    <xf numFmtId="8" fontId="39" fillId="3" borderId="85" xfId="0" applyNumberFormat="1" applyFont="1" applyFill="1" applyBorder="1" applyAlignment="1">
      <alignment horizontal="left" vertical="center" wrapText="1"/>
    </xf>
    <xf numFmtId="8" fontId="38" fillId="3" borderId="53" xfId="0" applyNumberFormat="1" applyFont="1" applyFill="1" applyBorder="1" applyAlignment="1">
      <alignment horizontal="left" vertical="center" wrapText="1"/>
    </xf>
    <xf numFmtId="8" fontId="38" fillId="3" borderId="38" xfId="0" applyNumberFormat="1" applyFont="1" applyFill="1" applyBorder="1" applyAlignment="1">
      <alignment horizontal="left" vertical="center" wrapText="1"/>
    </xf>
    <xf numFmtId="0" fontId="37" fillId="3" borderId="14" xfId="0" applyFont="1" applyFill="1" applyBorder="1" applyAlignment="1">
      <alignment horizontal="left" vertical="center"/>
    </xf>
    <xf numFmtId="0" fontId="37" fillId="3" borderId="38" xfId="0" applyFont="1" applyFill="1" applyBorder="1" applyAlignment="1">
      <alignment horizontal="left" vertical="center"/>
    </xf>
    <xf numFmtId="8" fontId="37" fillId="11" borderId="84" xfId="0" applyNumberFormat="1" applyFont="1" applyFill="1" applyBorder="1" applyAlignment="1">
      <alignment horizontal="left" vertical="center" wrapText="1"/>
    </xf>
    <xf numFmtId="8" fontId="37" fillId="11" borderId="85" xfId="0" applyNumberFormat="1" applyFont="1" applyFill="1" applyBorder="1" applyAlignment="1">
      <alignment horizontal="left" vertical="center" wrapText="1"/>
    </xf>
    <xf numFmtId="8" fontId="37" fillId="3" borderId="84" xfId="0" applyNumberFormat="1" applyFont="1" applyFill="1" applyBorder="1" applyAlignment="1">
      <alignment horizontal="left" vertical="center" wrapText="1"/>
    </xf>
    <xf numFmtId="8" fontId="37" fillId="3" borderId="85" xfId="0" applyNumberFormat="1" applyFont="1" applyFill="1" applyBorder="1" applyAlignment="1">
      <alignment horizontal="left" vertical="center" wrapText="1"/>
    </xf>
    <xf numFmtId="0" fontId="37" fillId="3" borderId="53" xfId="0" applyFont="1" applyFill="1" applyBorder="1" applyAlignment="1">
      <alignment horizontal="left" vertical="center" wrapText="1"/>
    </xf>
    <xf numFmtId="0" fontId="37" fillId="3" borderId="38" xfId="0" applyFont="1" applyFill="1" applyBorder="1" applyAlignment="1">
      <alignment horizontal="left" vertical="center" wrapText="1"/>
    </xf>
    <xf numFmtId="0" fontId="37" fillId="0" borderId="0" xfId="0" applyFont="1" applyAlignment="1">
      <alignment horizontal="left" vertical="center"/>
    </xf>
    <xf numFmtId="8" fontId="37" fillId="3" borderId="0" xfId="0" applyNumberFormat="1" applyFont="1" applyFill="1" applyAlignment="1">
      <alignment horizontal="left" vertical="center" wrapText="1"/>
    </xf>
    <xf numFmtId="0" fontId="17" fillId="5" borderId="44" xfId="0" applyFont="1" applyFill="1" applyBorder="1" applyAlignment="1">
      <alignment horizontal="left" vertical="center"/>
    </xf>
    <xf numFmtId="0" fontId="17" fillId="5" borderId="45"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0" xfId="0" applyFont="1" applyFill="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left" vertical="center"/>
    </xf>
    <xf numFmtId="0" fontId="1" fillId="4" borderId="6" xfId="0" applyFont="1" applyFill="1" applyBorder="1" applyAlignment="1">
      <alignment horizontal="left" vertical="center"/>
    </xf>
    <xf numFmtId="0" fontId="8" fillId="5" borderId="22"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23"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0" fillId="3" borderId="30" xfId="0" applyFont="1" applyFill="1" applyBorder="1" applyAlignment="1">
      <alignment horizontal="left" vertical="center"/>
    </xf>
    <xf numFmtId="0" fontId="10" fillId="3" borderId="40" xfId="0" applyFont="1" applyFill="1" applyBorder="1" applyAlignment="1">
      <alignment horizontal="left"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4" borderId="22" xfId="0" applyFont="1" applyFill="1" applyBorder="1" applyAlignment="1">
      <alignment horizontal="left" vertical="top" wrapText="1"/>
    </xf>
    <xf numFmtId="0" fontId="11" fillId="4" borderId="26" xfId="0" applyFont="1" applyFill="1" applyBorder="1" applyAlignment="1">
      <alignment horizontal="left" vertical="top" wrapText="1"/>
    </xf>
    <xf numFmtId="0" fontId="11" fillId="4" borderId="23" xfId="0" applyFont="1" applyFill="1" applyBorder="1" applyAlignment="1">
      <alignment horizontal="left" vertical="top" wrapText="1"/>
    </xf>
    <xf numFmtId="0" fontId="11" fillId="4" borderId="24"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25" xfId="0" applyFont="1" applyFill="1" applyBorder="1" applyAlignment="1">
      <alignment horizontal="left" vertical="top" wrapText="1"/>
    </xf>
    <xf numFmtId="0" fontId="11" fillId="4" borderId="81" xfId="0" applyFont="1" applyFill="1" applyBorder="1" applyAlignment="1">
      <alignment horizontal="left" vertical="top" wrapText="1"/>
    </xf>
    <xf numFmtId="0" fontId="11" fillId="4" borderId="83" xfId="0" applyFont="1" applyFill="1" applyBorder="1" applyAlignment="1">
      <alignment horizontal="left" vertical="top" wrapText="1"/>
    </xf>
    <xf numFmtId="0" fontId="11" fillId="4" borderId="82" xfId="0" applyFont="1" applyFill="1" applyBorder="1" applyAlignment="1">
      <alignment horizontal="left" vertical="top" wrapText="1"/>
    </xf>
    <xf numFmtId="9" fontId="5" fillId="4" borderId="30" xfId="2" applyFont="1" applyFill="1" applyBorder="1" applyAlignment="1">
      <alignment horizontal="left" vertical="center"/>
    </xf>
    <xf numFmtId="9" fontId="5" fillId="4" borderId="31" xfId="2" applyFont="1" applyFill="1" applyBorder="1" applyAlignment="1">
      <alignment horizontal="left"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5" fillId="3" borderId="30" xfId="0" applyFont="1" applyFill="1" applyBorder="1" applyAlignment="1">
      <alignment horizontal="left" vertical="center"/>
    </xf>
    <xf numFmtId="0" fontId="5" fillId="3" borderId="40" xfId="0" applyFont="1" applyFill="1" applyBorder="1" applyAlignment="1">
      <alignment horizontal="left" vertical="center"/>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164" fontId="3" fillId="2" borderId="7"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2" fillId="4" borderId="22" xfId="0" applyFont="1" applyFill="1" applyBorder="1" applyAlignment="1">
      <alignment horizontal="left" vertical="top" wrapText="1"/>
    </xf>
    <xf numFmtId="0" fontId="12" fillId="4" borderId="26" xfId="0" applyFont="1" applyFill="1" applyBorder="1" applyAlignment="1">
      <alignment horizontal="left" vertical="top" wrapText="1"/>
    </xf>
    <xf numFmtId="0" fontId="12" fillId="4" borderId="23" xfId="0" applyFont="1" applyFill="1" applyBorder="1" applyAlignment="1">
      <alignment horizontal="left" vertical="top" wrapText="1"/>
    </xf>
    <xf numFmtId="0" fontId="12" fillId="4" borderId="24"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25" xfId="0" applyFont="1" applyFill="1" applyBorder="1" applyAlignment="1">
      <alignment horizontal="left" vertical="top" wrapText="1"/>
    </xf>
    <xf numFmtId="0" fontId="12" fillId="4" borderId="81" xfId="0" applyFont="1" applyFill="1" applyBorder="1" applyAlignment="1">
      <alignment horizontal="left" vertical="top" wrapText="1"/>
    </xf>
    <xf numFmtId="0" fontId="12" fillId="4" borderId="83" xfId="0" applyFont="1" applyFill="1" applyBorder="1" applyAlignment="1">
      <alignment horizontal="left" vertical="top" wrapText="1"/>
    </xf>
    <xf numFmtId="0" fontId="12" fillId="4" borderId="82" xfId="0" applyFont="1" applyFill="1" applyBorder="1" applyAlignment="1">
      <alignment horizontal="left" vertical="top" wrapText="1"/>
    </xf>
    <xf numFmtId="0" fontId="5" fillId="4" borderId="0" xfId="0" applyFont="1" applyFill="1" applyAlignment="1">
      <alignment horizontal="left" vertical="top" wrapText="1"/>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0" xfId="0" applyFont="1" applyBorder="1" applyAlignment="1">
      <alignment horizontal="left" vertical="center" wrapText="1"/>
    </xf>
    <xf numFmtId="0" fontId="1" fillId="0" borderId="6"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6"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8" fillId="5" borderId="81" xfId="0" applyFont="1" applyFill="1" applyBorder="1" applyAlignment="1">
      <alignment horizontal="center" vertical="center" wrapText="1"/>
    </xf>
    <xf numFmtId="0" fontId="8" fillId="5" borderId="8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left" vertical="top"/>
    </xf>
    <xf numFmtId="0" fontId="1" fillId="4" borderId="2" xfId="0" applyFont="1" applyFill="1" applyBorder="1" applyAlignment="1">
      <alignment horizontal="left" vertical="top"/>
    </xf>
    <xf numFmtId="0" fontId="1" fillId="4" borderId="5" xfId="0" applyFont="1" applyFill="1" applyBorder="1" applyAlignment="1">
      <alignment horizontal="left" vertical="top"/>
    </xf>
    <xf numFmtId="0" fontId="1" fillId="4" borderId="6" xfId="0" applyFont="1" applyFill="1" applyBorder="1" applyAlignment="1">
      <alignment horizontal="left" vertical="top"/>
    </xf>
    <xf numFmtId="0" fontId="5" fillId="0" borderId="1" xfId="0" applyFont="1" applyBorder="1" applyAlignment="1">
      <alignment horizontal="left" vertical="center" wrapText="1"/>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horizontal="left" vertical="top" wrapText="1"/>
    </xf>
    <xf numFmtId="0" fontId="1" fillId="0" borderId="9"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10"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center" vertical="center"/>
    </xf>
    <xf numFmtId="0" fontId="1" fillId="4" borderId="18" xfId="0" applyFont="1" applyFill="1" applyBorder="1" applyAlignment="1">
      <alignment horizontal="center" vertical="center"/>
    </xf>
    <xf numFmtId="0" fontId="8" fillId="5" borderId="22" xfId="0" applyFont="1" applyFill="1" applyBorder="1" applyAlignment="1">
      <alignment horizontal="left" vertical="center"/>
    </xf>
    <xf numFmtId="0" fontId="8" fillId="5" borderId="23" xfId="0" applyFont="1" applyFill="1" applyBorder="1" applyAlignment="1">
      <alignment horizontal="left" vertical="center"/>
    </xf>
    <xf numFmtId="0" fontId="1" fillId="3" borderId="1"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0" xfId="0" applyFont="1" applyFill="1" applyAlignment="1">
      <alignment horizontal="left" vertical="top"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6" xfId="0" applyFont="1" applyFill="1" applyBorder="1" applyAlignment="1">
      <alignment horizontal="left" vertical="top" wrapText="1"/>
    </xf>
    <xf numFmtId="0" fontId="8" fillId="5" borderId="30"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31" xfId="0" applyFont="1" applyFill="1" applyBorder="1" applyAlignment="1">
      <alignment horizontal="center" vertical="center"/>
    </xf>
    <xf numFmtId="0" fontId="21" fillId="0" borderId="9" xfId="0" applyFont="1" applyBorder="1" applyAlignment="1">
      <alignment horizontal="left" vertical="top" wrapText="1"/>
    </xf>
    <xf numFmtId="0" fontId="21" fillId="0" borderId="2" xfId="0" applyFont="1" applyBorder="1" applyAlignment="1">
      <alignment horizontal="left" vertical="top" wrapText="1"/>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21" fillId="3" borderId="9"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0" xfId="0" applyFont="1" applyFill="1" applyAlignment="1">
      <alignment horizontal="left" vertical="top" wrapText="1"/>
    </xf>
    <xf numFmtId="0" fontId="21" fillId="3" borderId="4" xfId="0" applyFont="1" applyFill="1" applyBorder="1" applyAlignment="1">
      <alignment horizontal="left" vertical="top"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0" fillId="2" borderId="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3" fillId="2" borderId="10" xfId="0" applyFont="1" applyFill="1" applyBorder="1" applyAlignment="1">
      <alignment horizontal="center"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0" xfId="0" applyFont="1" applyBorder="1" applyAlignment="1">
      <alignment horizontal="left" vertical="top" wrapText="1"/>
    </xf>
    <xf numFmtId="0" fontId="21" fillId="0" borderId="6" xfId="0" applyFont="1" applyBorder="1" applyAlignment="1">
      <alignment horizontal="left" vertical="top" wrapText="1"/>
    </xf>
    <xf numFmtId="0" fontId="21" fillId="0" borderId="0" xfId="0" applyFont="1" applyAlignment="1">
      <alignment horizontal="left" vertical="center"/>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xf>
    <xf numFmtId="0" fontId="20" fillId="2" borderId="5" xfId="0" applyFont="1" applyFill="1" applyBorder="1" applyAlignment="1">
      <alignment horizontal="left" vertical="center"/>
    </xf>
    <xf numFmtId="0" fontId="20" fillId="2" borderId="6"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21" fillId="3" borderId="10"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4" borderId="5" xfId="0" applyFont="1" applyFill="1" applyBorder="1" applyAlignment="1">
      <alignment horizontal="left" vertical="center"/>
    </xf>
    <xf numFmtId="0" fontId="21" fillId="4" borderId="6" xfId="0" applyFont="1" applyFill="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21" fillId="3" borderId="1"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5" xfId="0" applyFont="1" applyFill="1" applyBorder="1" applyAlignment="1">
      <alignment horizontal="left" vertical="top" wrapText="1"/>
    </xf>
    <xf numFmtId="0" fontId="21" fillId="0" borderId="1" xfId="0" applyFont="1" applyBorder="1" applyAlignment="1">
      <alignment horizontal="left" vertical="top" wrapText="1"/>
    </xf>
    <xf numFmtId="0" fontId="21" fillId="0" borderId="3" xfId="0" applyFont="1" applyBorder="1" applyAlignment="1">
      <alignment horizontal="left" vertical="top" wrapText="1"/>
    </xf>
    <xf numFmtId="0" fontId="21" fillId="0" borderId="5" xfId="0" applyFont="1" applyBorder="1" applyAlignment="1">
      <alignment horizontal="left" vertical="top" wrapText="1"/>
    </xf>
    <xf numFmtId="0" fontId="21" fillId="0" borderId="1" xfId="0" applyFont="1" applyBorder="1" applyAlignment="1">
      <alignment horizontal="left"/>
    </xf>
    <xf numFmtId="0" fontId="21" fillId="0" borderId="2" xfId="0" applyFont="1" applyBorder="1" applyAlignment="1">
      <alignment horizontal="left"/>
    </xf>
    <xf numFmtId="0" fontId="22" fillId="3" borderId="1" xfId="0" applyFont="1" applyFill="1" applyBorder="1" applyAlignment="1">
      <alignment horizontal="left" vertical="top" wrapText="1"/>
    </xf>
    <xf numFmtId="0" fontId="3" fillId="2" borderId="0" xfId="0" applyFont="1" applyFill="1" applyAlignment="1">
      <alignment horizontal="left" vertical="center" wrapText="1"/>
    </xf>
    <xf numFmtId="0" fontId="3" fillId="2" borderId="4" xfId="0" applyFont="1" applyFill="1" applyBorder="1" applyAlignment="1">
      <alignment horizontal="left" vertical="center"/>
    </xf>
    <xf numFmtId="0" fontId="8" fillId="5" borderId="24" xfId="0" applyFont="1" applyFill="1" applyBorder="1" applyAlignment="1">
      <alignment horizontal="center" vertical="center"/>
    </xf>
    <xf numFmtId="0" fontId="8" fillId="5" borderId="25" xfId="0" applyFont="1" applyFill="1" applyBorder="1" applyAlignment="1">
      <alignment horizontal="center" vertical="center"/>
    </xf>
    <xf numFmtId="0" fontId="16" fillId="3" borderId="26" xfId="0" applyFont="1" applyFill="1" applyBorder="1" applyAlignment="1">
      <alignment horizontal="left" vertical="top" wrapText="1"/>
    </xf>
    <xf numFmtId="0" fontId="16" fillId="3" borderId="0" xfId="0" applyFont="1" applyFill="1" applyAlignment="1">
      <alignment horizontal="left" vertical="top" wrapText="1"/>
    </xf>
    <xf numFmtId="165" fontId="1" fillId="0" borderId="16" xfId="0" applyNumberFormat="1" applyFont="1" applyBorder="1" applyAlignment="1">
      <alignment horizontal="center" vertical="center" wrapText="1"/>
    </xf>
    <xf numFmtId="165" fontId="1" fillId="0" borderId="17" xfId="0" applyNumberFormat="1" applyFont="1" applyBorder="1" applyAlignment="1">
      <alignment horizontal="center" vertical="center" wrapText="1"/>
    </xf>
    <xf numFmtId="165" fontId="1" fillId="0" borderId="9" xfId="0" applyNumberFormat="1" applyFont="1" applyBorder="1" applyAlignment="1">
      <alignment horizontal="center" vertical="center" wrapText="1"/>
    </xf>
    <xf numFmtId="165" fontId="1" fillId="0" borderId="2" xfId="0" applyNumberFormat="1" applyFont="1" applyBorder="1" applyAlignment="1">
      <alignment horizontal="center" vertical="center" wrapText="1"/>
    </xf>
    <xf numFmtId="165" fontId="1" fillId="0" borderId="18" xfId="0" applyNumberFormat="1" applyFont="1" applyBorder="1" applyAlignment="1">
      <alignment horizontal="center" vertical="center" wrapText="1"/>
    </xf>
    <xf numFmtId="0" fontId="5" fillId="3" borderId="1"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0" xfId="0" applyFont="1" applyFill="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6" xfId="0" applyFont="1" applyFill="1" applyBorder="1" applyAlignment="1">
      <alignment horizontal="left" vertical="top" wrapText="1"/>
    </xf>
    <xf numFmtId="0" fontId="1" fillId="0" borderId="0" xfId="0" applyFont="1" applyAlignment="1">
      <alignment horizontal="left" vertical="center"/>
    </xf>
    <xf numFmtId="0" fontId="1" fillId="0" borderId="3" xfId="0" applyFont="1" applyBorder="1" applyAlignment="1">
      <alignment horizontal="left"/>
    </xf>
    <xf numFmtId="0" fontId="1" fillId="0" borderId="4" xfId="0" applyFont="1" applyBorder="1"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165" fontId="1" fillId="0" borderId="1" xfId="0" applyNumberFormat="1" applyFont="1" applyBorder="1" applyAlignment="1">
      <alignment horizontal="center" vertical="center" wrapText="1"/>
    </xf>
    <xf numFmtId="0" fontId="10" fillId="4" borderId="22" xfId="0" applyFont="1" applyFill="1" applyBorder="1" applyAlignment="1">
      <alignment horizontal="left" vertical="top" wrapText="1"/>
    </xf>
    <xf numFmtId="0" fontId="10" fillId="4" borderId="26" xfId="0" applyFont="1" applyFill="1" applyBorder="1" applyAlignment="1">
      <alignment horizontal="left" vertical="top" wrapText="1"/>
    </xf>
    <xf numFmtId="0" fontId="10" fillId="4" borderId="23" xfId="0" applyFont="1" applyFill="1" applyBorder="1" applyAlignment="1">
      <alignment horizontal="left" vertical="top" wrapText="1"/>
    </xf>
    <xf numFmtId="0" fontId="10" fillId="4" borderId="24"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25" xfId="0" applyFont="1" applyFill="1" applyBorder="1" applyAlignment="1">
      <alignment horizontal="left" vertical="top" wrapText="1"/>
    </xf>
    <xf numFmtId="0" fontId="10" fillId="4" borderId="81" xfId="0" applyFont="1" applyFill="1" applyBorder="1" applyAlignment="1">
      <alignment horizontal="left" vertical="top" wrapText="1"/>
    </xf>
    <xf numFmtId="0" fontId="10" fillId="4" borderId="83" xfId="0" applyFont="1" applyFill="1" applyBorder="1" applyAlignment="1">
      <alignment horizontal="left" vertical="top" wrapText="1"/>
    </xf>
    <xf numFmtId="0" fontId="10" fillId="4" borderId="82" xfId="0" applyFont="1" applyFill="1" applyBorder="1" applyAlignment="1">
      <alignment horizontal="left" vertical="top" wrapText="1"/>
    </xf>
  </cellXfs>
  <cellStyles count="3">
    <cellStyle name="Procent" xfId="2" builtinId="5"/>
    <cellStyle name="Standaard" xfId="0" builtinId="0"/>
    <cellStyle name="Valuta" xfId="1"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'5. Vegetatiekartering'!$A$6:$B$6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Vegetatiekartering'!$C$5:$F$5</c:f>
              <c:strCache>
                <c:ptCount val="4"/>
                <c:pt idx="0">
                  <c:v>Niveau 1</c:v>
                </c:pt>
                <c:pt idx="1">
                  <c:v>Niveau 2</c:v>
                </c:pt>
                <c:pt idx="2">
                  <c:v>Niveau 3</c:v>
                </c:pt>
                <c:pt idx="3">
                  <c:v>Niveau 4</c:v>
                </c:pt>
              </c:strCache>
            </c:strRef>
          </c:cat>
          <c:val>
            <c:numRef>
              <c:f>'5. Vegetatiekartering'!$C$6:$F$6</c:f>
              <c:numCache>
                <c:formatCode>"€"\ #,##0.00</c:formatCode>
                <c:ptCount val="4"/>
                <c:pt idx="0">
                  <c:v>9.7431832291276592</c:v>
                </c:pt>
                <c:pt idx="1">
                  <c:v>8.3318017696170212</c:v>
                </c:pt>
                <c:pt idx="2">
                  <c:v>8.2554750659574463</c:v>
                </c:pt>
                <c:pt idx="3">
                  <c:v>8.2528248331914895</c:v>
                </c:pt>
              </c:numCache>
            </c:numRef>
          </c:val>
          <c:extLst>
            <c:ext xmlns:c16="http://schemas.microsoft.com/office/drawing/2014/chart" uri="{C3380CC4-5D6E-409C-BE32-E72D297353CC}">
              <c16:uniqueId val="{00000000-014B-4101-8023-B2EA30F22A91}"/>
            </c:ext>
          </c:extLst>
        </c:ser>
        <c:ser>
          <c:idx val="1"/>
          <c:order val="1"/>
          <c:tx>
            <c:strRef>
              <c:f>'5. Vegetatiekartering'!$A$7:$B$7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Vegetatiekartering'!$C$5:$F$5</c:f>
              <c:strCache>
                <c:ptCount val="4"/>
                <c:pt idx="0">
                  <c:v>Niveau 1</c:v>
                </c:pt>
                <c:pt idx="1">
                  <c:v>Niveau 2</c:v>
                </c:pt>
                <c:pt idx="2">
                  <c:v>Niveau 3</c:v>
                </c:pt>
                <c:pt idx="3">
                  <c:v>Niveau 4</c:v>
                </c:pt>
              </c:strCache>
            </c:strRef>
          </c:cat>
          <c:val>
            <c:numRef>
              <c:f>'5. Vegetatiekartering'!$C$7:$F$7</c:f>
              <c:numCache>
                <c:formatCode>"€"\ #,##0.00</c:formatCode>
                <c:ptCount val="4"/>
                <c:pt idx="0">
                  <c:v>47.089153400000001</c:v>
                </c:pt>
                <c:pt idx="1">
                  <c:v>45.038160439999999</c:v>
                </c:pt>
                <c:pt idx="2">
                  <c:v>35.097386600000007</c:v>
                </c:pt>
                <c:pt idx="3">
                  <c:v>34.380228967999997</c:v>
                </c:pt>
              </c:numCache>
            </c:numRef>
          </c:val>
          <c:extLst>
            <c:ext xmlns:c16="http://schemas.microsoft.com/office/drawing/2014/chart" uri="{C3380CC4-5D6E-409C-BE32-E72D297353CC}">
              <c16:uniqueId val="{00000001-014B-4101-8023-B2EA30F22A91}"/>
            </c:ext>
          </c:extLst>
        </c:ser>
        <c:ser>
          <c:idx val="2"/>
          <c:order val="2"/>
          <c:tx>
            <c:strRef>
              <c:f>'5. Vegetatiekartering'!$A$8:$B$8</c:f>
              <c:strCache>
                <c:ptCount val="2"/>
                <c:pt idx="0">
                  <c:v>Veldwerk 1 jaar</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Vegetatiekartering'!$C$5:$F$5</c:f>
              <c:strCache>
                <c:ptCount val="4"/>
                <c:pt idx="0">
                  <c:v>Niveau 1</c:v>
                </c:pt>
                <c:pt idx="1">
                  <c:v>Niveau 2</c:v>
                </c:pt>
                <c:pt idx="2">
                  <c:v>Niveau 3</c:v>
                </c:pt>
                <c:pt idx="3">
                  <c:v>Niveau 4</c:v>
                </c:pt>
              </c:strCache>
            </c:strRef>
          </c:cat>
          <c:val>
            <c:numRef>
              <c:f>'5. Vegetatiekartering'!$C$8:$F$8</c:f>
              <c:numCache>
                <c:formatCode>"€"\ #,##0.00</c:formatCode>
                <c:ptCount val="4"/>
                <c:pt idx="0">
                  <c:v>177.1563982905983</c:v>
                </c:pt>
                <c:pt idx="1">
                  <c:v>65.858633421797578</c:v>
                </c:pt>
                <c:pt idx="2">
                  <c:v>30.690776666666672</c:v>
                </c:pt>
                <c:pt idx="3">
                  <c:v>13.843795833333333</c:v>
                </c:pt>
              </c:numCache>
            </c:numRef>
          </c:val>
          <c:extLst>
            <c:ext xmlns:c16="http://schemas.microsoft.com/office/drawing/2014/chart" uri="{C3380CC4-5D6E-409C-BE32-E72D297353CC}">
              <c16:uniqueId val="{00000002-014B-4101-8023-B2EA30F22A91}"/>
            </c:ext>
          </c:extLst>
        </c:ser>
        <c:dLbls>
          <c:showLegendKey val="0"/>
          <c:showVal val="0"/>
          <c:showCatName val="0"/>
          <c:showSerName val="0"/>
          <c:showPercent val="0"/>
          <c:showBubbleSize val="0"/>
        </c:dLbls>
        <c:gapWidth val="150"/>
        <c:overlap val="100"/>
        <c:axId val="834250880"/>
        <c:axId val="834256704"/>
      </c:barChart>
      <c:catAx>
        <c:axId val="83425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256704"/>
        <c:crosses val="autoZero"/>
        <c:auto val="1"/>
        <c:lblAlgn val="ctr"/>
        <c:lblOffset val="100"/>
        <c:noMultiLvlLbl val="0"/>
      </c:catAx>
      <c:valAx>
        <c:axId val="83425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250880"/>
        <c:crosses val="autoZero"/>
        <c:crossBetween val="between"/>
      </c:valAx>
      <c:spPr>
        <a:noFill/>
        <a:ln>
          <a:noFill/>
        </a:ln>
        <a:effectLst/>
      </c:spPr>
    </c:plotArea>
    <c:legend>
      <c:legendPos val="b"/>
      <c:layout>
        <c:manualLayout>
          <c:xMode val="edge"/>
          <c:yMode val="edge"/>
          <c:x val="4.531955462053907E-2"/>
          <c:y val="0.84449383912982845"/>
          <c:w val="0.88730927448702157"/>
          <c:h val="0.1394848449679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'6. Plantenkartering'!$A$6:$B$6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Plantenkartering'!$C$5:$E$5</c:f>
              <c:strCache>
                <c:ptCount val="3"/>
                <c:pt idx="0">
                  <c:v>Niveau 1</c:v>
                </c:pt>
                <c:pt idx="1">
                  <c:v>Niveau 2</c:v>
                </c:pt>
                <c:pt idx="2">
                  <c:v>Niveau 3</c:v>
                </c:pt>
              </c:strCache>
            </c:strRef>
          </c:cat>
          <c:val>
            <c:numRef>
              <c:f>'6. Plantenkartering'!$C$6:$E$6</c:f>
              <c:numCache>
                <c:formatCode>"€"\ #,##0.00</c:formatCode>
                <c:ptCount val="3"/>
                <c:pt idx="0">
                  <c:v>3.9531755347943278</c:v>
                </c:pt>
                <c:pt idx="1">
                  <c:v>3.5556406199007085</c:v>
                </c:pt>
                <c:pt idx="2">
                  <c:v>3.4452142546524831</c:v>
                </c:pt>
              </c:numCache>
            </c:numRef>
          </c:val>
          <c:extLst>
            <c:ext xmlns:c16="http://schemas.microsoft.com/office/drawing/2014/chart" uri="{C3380CC4-5D6E-409C-BE32-E72D297353CC}">
              <c16:uniqueId val="{00000000-A2C4-41A2-9C05-D82CC42A6E20}"/>
            </c:ext>
          </c:extLst>
        </c:ser>
        <c:ser>
          <c:idx val="1"/>
          <c:order val="1"/>
          <c:tx>
            <c:strRef>
              <c:f>'6. Plantenkartering'!$A$7:$B$7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Plantenkartering'!$C$5:$E$5</c:f>
              <c:strCache>
                <c:ptCount val="3"/>
                <c:pt idx="0">
                  <c:v>Niveau 1</c:v>
                </c:pt>
                <c:pt idx="1">
                  <c:v>Niveau 2</c:v>
                </c:pt>
                <c:pt idx="2">
                  <c:v>Niveau 3</c:v>
                </c:pt>
              </c:strCache>
            </c:strRef>
          </c:cat>
          <c:val>
            <c:numRef>
              <c:f>'6. Plantenkartering'!$C$7:$E$7</c:f>
              <c:numCache>
                <c:formatCode>"€"\ #,##0.00</c:formatCode>
                <c:ptCount val="3"/>
                <c:pt idx="0">
                  <c:v>17.417366400000002</c:v>
                </c:pt>
                <c:pt idx="1">
                  <c:v>14.763780480000001</c:v>
                </c:pt>
                <c:pt idx="2">
                  <c:v>13.846980480000003</c:v>
                </c:pt>
              </c:numCache>
            </c:numRef>
          </c:val>
          <c:extLst>
            <c:ext xmlns:c16="http://schemas.microsoft.com/office/drawing/2014/chart" uri="{C3380CC4-5D6E-409C-BE32-E72D297353CC}">
              <c16:uniqueId val="{00000001-A2C4-41A2-9C05-D82CC42A6E20}"/>
            </c:ext>
          </c:extLst>
        </c:ser>
        <c:ser>
          <c:idx val="2"/>
          <c:order val="2"/>
          <c:tx>
            <c:strRef>
              <c:f>'6. Plantenkartering'!$A$8:$B$8</c:f>
              <c:strCache>
                <c:ptCount val="2"/>
                <c:pt idx="0">
                  <c:v>Veldwerk</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Plantenkartering'!$C$5:$E$5</c:f>
              <c:strCache>
                <c:ptCount val="3"/>
                <c:pt idx="0">
                  <c:v>Niveau 1</c:v>
                </c:pt>
                <c:pt idx="1">
                  <c:v>Niveau 2</c:v>
                </c:pt>
                <c:pt idx="2">
                  <c:v>Niveau 3</c:v>
                </c:pt>
              </c:strCache>
            </c:strRef>
          </c:cat>
          <c:val>
            <c:numRef>
              <c:f>'6. Plantenkartering'!$C$8:$E$8</c:f>
              <c:numCache>
                <c:formatCode>"€"\ #,##0.00</c:formatCode>
                <c:ptCount val="3"/>
                <c:pt idx="0">
                  <c:v>70.788857870370379</c:v>
                </c:pt>
                <c:pt idx="1">
                  <c:v>37.419431666666668</c:v>
                </c:pt>
                <c:pt idx="2">
                  <c:v>26.26760686609687</c:v>
                </c:pt>
              </c:numCache>
            </c:numRef>
          </c:val>
          <c:extLst>
            <c:ext xmlns:c16="http://schemas.microsoft.com/office/drawing/2014/chart" uri="{C3380CC4-5D6E-409C-BE32-E72D297353CC}">
              <c16:uniqueId val="{00000002-A2C4-41A2-9C05-D82CC42A6E20}"/>
            </c:ext>
          </c:extLst>
        </c:ser>
        <c:dLbls>
          <c:dLblPos val="ctr"/>
          <c:showLegendKey val="0"/>
          <c:showVal val="1"/>
          <c:showCatName val="0"/>
          <c:showSerName val="0"/>
          <c:showPercent val="0"/>
          <c:showBubbleSize val="0"/>
        </c:dLbls>
        <c:gapWidth val="150"/>
        <c:overlap val="100"/>
        <c:axId val="1959624864"/>
        <c:axId val="1959639424"/>
      </c:barChart>
      <c:catAx>
        <c:axId val="195962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59639424"/>
        <c:crosses val="autoZero"/>
        <c:auto val="1"/>
        <c:lblAlgn val="ctr"/>
        <c:lblOffset val="100"/>
        <c:noMultiLvlLbl val="0"/>
      </c:catAx>
      <c:valAx>
        <c:axId val="195963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596248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'7. Broedvogelkartering'!$A$6:$B$6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Broedvogelkartering'!$C$5:$D$5</c:f>
              <c:strCache>
                <c:ptCount val="2"/>
                <c:pt idx="0">
                  <c:v>Niveau 1</c:v>
                </c:pt>
                <c:pt idx="1">
                  <c:v>Niveau 2</c:v>
                </c:pt>
              </c:strCache>
            </c:strRef>
          </c:cat>
          <c:val>
            <c:numRef>
              <c:f>'7. Broedvogelkartering'!$C$6:$D$6</c:f>
              <c:numCache>
                <c:formatCode>"€"\ #,##0.00</c:formatCode>
                <c:ptCount val="2"/>
                <c:pt idx="0">
                  <c:v>3.887096397829787</c:v>
                </c:pt>
                <c:pt idx="1">
                  <c:v>3.7876243280141852</c:v>
                </c:pt>
              </c:numCache>
            </c:numRef>
          </c:val>
          <c:extLst>
            <c:ext xmlns:c16="http://schemas.microsoft.com/office/drawing/2014/chart" uri="{C3380CC4-5D6E-409C-BE32-E72D297353CC}">
              <c16:uniqueId val="{00000000-EA4E-4873-BFA4-03E466C8612F}"/>
            </c:ext>
          </c:extLst>
        </c:ser>
        <c:ser>
          <c:idx val="1"/>
          <c:order val="1"/>
          <c:tx>
            <c:strRef>
              <c:f>'7. Broedvogelkartering'!$A$7:$B$7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Broedvogelkartering'!$C$5:$D$5</c:f>
              <c:strCache>
                <c:ptCount val="2"/>
                <c:pt idx="0">
                  <c:v>Niveau 1</c:v>
                </c:pt>
                <c:pt idx="1">
                  <c:v>Niveau 2</c:v>
                </c:pt>
              </c:strCache>
            </c:strRef>
          </c:cat>
          <c:val>
            <c:numRef>
              <c:f>'7. Broedvogelkartering'!$C$7:$D$7</c:f>
              <c:numCache>
                <c:formatCode>"€"\ #,##0.00</c:formatCode>
                <c:ptCount val="2"/>
                <c:pt idx="0">
                  <c:v>14.54631552</c:v>
                </c:pt>
                <c:pt idx="1">
                  <c:v>13.72119552</c:v>
                </c:pt>
              </c:numCache>
            </c:numRef>
          </c:val>
          <c:extLst>
            <c:ext xmlns:c16="http://schemas.microsoft.com/office/drawing/2014/chart" uri="{C3380CC4-5D6E-409C-BE32-E72D297353CC}">
              <c16:uniqueId val="{00000001-EA4E-4873-BFA4-03E466C8612F}"/>
            </c:ext>
          </c:extLst>
        </c:ser>
        <c:ser>
          <c:idx val="2"/>
          <c:order val="2"/>
          <c:tx>
            <c:strRef>
              <c:f>'7. Broedvogelkartering'!$A$8:$B$8</c:f>
              <c:strCache>
                <c:ptCount val="2"/>
                <c:pt idx="0">
                  <c:v>Veldwerk</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Broedvogelkartering'!$C$5:$D$5</c:f>
              <c:strCache>
                <c:ptCount val="2"/>
                <c:pt idx="0">
                  <c:v>Niveau 1</c:v>
                </c:pt>
                <c:pt idx="1">
                  <c:v>Niveau 2</c:v>
                </c:pt>
              </c:strCache>
            </c:strRef>
          </c:cat>
          <c:val>
            <c:numRef>
              <c:f>'7. Broedvogelkartering'!$C$8:$D$8</c:f>
              <c:numCache>
                <c:formatCode>"€"\ #,##0.00</c:formatCode>
                <c:ptCount val="2"/>
                <c:pt idx="0">
                  <c:v>32.49479769984918</c:v>
                </c:pt>
                <c:pt idx="1">
                  <c:v>17.033644230769234</c:v>
                </c:pt>
              </c:numCache>
            </c:numRef>
          </c:val>
          <c:extLst>
            <c:ext xmlns:c16="http://schemas.microsoft.com/office/drawing/2014/chart" uri="{C3380CC4-5D6E-409C-BE32-E72D297353CC}">
              <c16:uniqueId val="{00000002-EA4E-4873-BFA4-03E466C8612F}"/>
            </c:ext>
          </c:extLst>
        </c:ser>
        <c:dLbls>
          <c:dLblPos val="ctr"/>
          <c:showLegendKey val="0"/>
          <c:showVal val="1"/>
          <c:showCatName val="0"/>
          <c:showSerName val="0"/>
          <c:showPercent val="0"/>
          <c:showBubbleSize val="0"/>
        </c:dLbls>
        <c:gapWidth val="150"/>
        <c:overlap val="100"/>
        <c:axId val="892270192"/>
        <c:axId val="892286832"/>
      </c:barChart>
      <c:catAx>
        <c:axId val="89227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92286832"/>
        <c:crosses val="autoZero"/>
        <c:auto val="1"/>
        <c:lblAlgn val="ctr"/>
        <c:lblOffset val="100"/>
        <c:noMultiLvlLbl val="0"/>
      </c:catAx>
      <c:valAx>
        <c:axId val="892286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92270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'8. Dagvlinders en sprinkhanen'!$A$6:$B$6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Dagvlinders en sprinkhanen'!$C$5:$D$5</c:f>
              <c:strCache>
                <c:ptCount val="2"/>
                <c:pt idx="0">
                  <c:v>Niveau 1</c:v>
                </c:pt>
                <c:pt idx="1">
                  <c:v>Niveau 2</c:v>
                </c:pt>
              </c:strCache>
            </c:strRef>
          </c:cat>
          <c:val>
            <c:numRef>
              <c:f>'8. Dagvlinders en sprinkhanen'!$C$6:$D$6</c:f>
              <c:numCache>
                <c:formatCode>"€"\ #,##0.00</c:formatCode>
                <c:ptCount val="2"/>
                <c:pt idx="0">
                  <c:v>4.7704189787234039</c:v>
                </c:pt>
                <c:pt idx="1">
                  <c:v>4.7704189787234039</c:v>
                </c:pt>
              </c:numCache>
            </c:numRef>
          </c:val>
          <c:extLst>
            <c:ext xmlns:c16="http://schemas.microsoft.com/office/drawing/2014/chart" uri="{C3380CC4-5D6E-409C-BE32-E72D297353CC}">
              <c16:uniqueId val="{00000000-A5CB-43FF-B1DB-8577478FCD37}"/>
            </c:ext>
          </c:extLst>
        </c:ser>
        <c:ser>
          <c:idx val="1"/>
          <c:order val="1"/>
          <c:tx>
            <c:strRef>
              <c:f>'8. Dagvlinders en sprinkhanen'!$A$7:$B$7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Dagvlinders en sprinkhanen'!$C$5:$D$5</c:f>
              <c:strCache>
                <c:ptCount val="2"/>
                <c:pt idx="0">
                  <c:v>Niveau 1</c:v>
                </c:pt>
                <c:pt idx="1">
                  <c:v>Niveau 2</c:v>
                </c:pt>
              </c:strCache>
            </c:strRef>
          </c:cat>
          <c:val>
            <c:numRef>
              <c:f>'8. Dagvlinders en sprinkhanen'!$C$7:$D$7</c:f>
              <c:numCache>
                <c:formatCode>"€"\ #,##0.00</c:formatCode>
                <c:ptCount val="2"/>
                <c:pt idx="0">
                  <c:v>18.580602240000005</c:v>
                </c:pt>
                <c:pt idx="1">
                  <c:v>18.580602240000005</c:v>
                </c:pt>
              </c:numCache>
            </c:numRef>
          </c:val>
          <c:extLst>
            <c:ext xmlns:c16="http://schemas.microsoft.com/office/drawing/2014/chart" uri="{C3380CC4-5D6E-409C-BE32-E72D297353CC}">
              <c16:uniqueId val="{00000001-A5CB-43FF-B1DB-8577478FCD37}"/>
            </c:ext>
          </c:extLst>
        </c:ser>
        <c:ser>
          <c:idx val="2"/>
          <c:order val="2"/>
          <c:tx>
            <c:strRef>
              <c:f>'8. Dagvlinders en sprinkhanen'!$A$8:$B$8</c:f>
              <c:strCache>
                <c:ptCount val="2"/>
                <c:pt idx="0">
                  <c:v>Veldwerk</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 Dagvlinders en sprinkhanen'!$C$5:$D$5</c:f>
              <c:strCache>
                <c:ptCount val="2"/>
                <c:pt idx="0">
                  <c:v>Niveau 1</c:v>
                </c:pt>
                <c:pt idx="1">
                  <c:v>Niveau 2</c:v>
                </c:pt>
              </c:strCache>
            </c:strRef>
          </c:cat>
          <c:val>
            <c:numRef>
              <c:f>'8. Dagvlinders en sprinkhanen'!$C$8:$D$8</c:f>
              <c:numCache>
                <c:formatCode>"€"\ #,##0.00</c:formatCode>
                <c:ptCount val="2"/>
                <c:pt idx="0">
                  <c:v>21.225041666666655</c:v>
                </c:pt>
                <c:pt idx="1">
                  <c:v>10.302065000000001</c:v>
                </c:pt>
              </c:numCache>
            </c:numRef>
          </c:val>
          <c:extLst>
            <c:ext xmlns:c16="http://schemas.microsoft.com/office/drawing/2014/chart" uri="{C3380CC4-5D6E-409C-BE32-E72D297353CC}">
              <c16:uniqueId val="{00000002-A5CB-43FF-B1DB-8577478FCD37}"/>
            </c:ext>
          </c:extLst>
        </c:ser>
        <c:dLbls>
          <c:dLblPos val="ctr"/>
          <c:showLegendKey val="0"/>
          <c:showVal val="1"/>
          <c:showCatName val="0"/>
          <c:showSerName val="0"/>
          <c:showPercent val="0"/>
          <c:showBubbleSize val="0"/>
        </c:dLbls>
        <c:gapWidth val="150"/>
        <c:overlap val="100"/>
        <c:axId val="1963441920"/>
        <c:axId val="1963448160"/>
      </c:barChart>
      <c:catAx>
        <c:axId val="196344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63448160"/>
        <c:crosses val="autoZero"/>
        <c:auto val="1"/>
        <c:lblAlgn val="ctr"/>
        <c:lblOffset val="100"/>
        <c:noMultiLvlLbl val="0"/>
      </c:catAx>
      <c:valAx>
        <c:axId val="1963448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63441920"/>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'9. Libellenkartering'!$A$6:$B$6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Libellenkartering'!$C$5:$D$5</c:f>
              <c:strCache>
                <c:ptCount val="2"/>
                <c:pt idx="0">
                  <c:v>Niveau 1</c:v>
                </c:pt>
                <c:pt idx="1">
                  <c:v>Niveau 2 </c:v>
                </c:pt>
              </c:strCache>
            </c:strRef>
          </c:cat>
          <c:val>
            <c:numRef>
              <c:f>'9. Libellenkartering'!$C$6:$D$6</c:f>
              <c:numCache>
                <c:formatCode>"€"\ #,##0.00</c:formatCode>
                <c:ptCount val="2"/>
                <c:pt idx="0">
                  <c:v>4.3728840638297868</c:v>
                </c:pt>
                <c:pt idx="1">
                  <c:v>4.3728840638297868</c:v>
                </c:pt>
              </c:numCache>
            </c:numRef>
          </c:val>
          <c:extLst>
            <c:ext xmlns:c16="http://schemas.microsoft.com/office/drawing/2014/chart" uri="{C3380CC4-5D6E-409C-BE32-E72D297353CC}">
              <c16:uniqueId val="{00000000-9818-4271-B37A-F42F77A47D14}"/>
            </c:ext>
          </c:extLst>
        </c:ser>
        <c:ser>
          <c:idx val="1"/>
          <c:order val="1"/>
          <c:tx>
            <c:strRef>
              <c:f>'9. Libellenkartering'!$A$7:$B$7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Libellenkartering'!$C$5:$D$5</c:f>
              <c:strCache>
                <c:ptCount val="2"/>
                <c:pt idx="0">
                  <c:v>Niveau 1</c:v>
                </c:pt>
                <c:pt idx="1">
                  <c:v>Niveau 2 </c:v>
                </c:pt>
              </c:strCache>
            </c:strRef>
          </c:cat>
          <c:val>
            <c:numRef>
              <c:f>'9. Libellenkartering'!$C$7:$D$7</c:f>
              <c:numCache>
                <c:formatCode>"€"\ #,##0.00</c:formatCode>
                <c:ptCount val="2"/>
                <c:pt idx="0">
                  <c:v>25.12032</c:v>
                </c:pt>
                <c:pt idx="1">
                  <c:v>25.12032</c:v>
                </c:pt>
              </c:numCache>
            </c:numRef>
          </c:val>
          <c:extLst>
            <c:ext xmlns:c16="http://schemas.microsoft.com/office/drawing/2014/chart" uri="{C3380CC4-5D6E-409C-BE32-E72D297353CC}">
              <c16:uniqueId val="{00000001-9818-4271-B37A-F42F77A47D14}"/>
            </c:ext>
          </c:extLst>
        </c:ser>
        <c:ser>
          <c:idx val="2"/>
          <c:order val="2"/>
          <c:tx>
            <c:strRef>
              <c:f>'9. Libellenkartering'!$A$8:$B$8</c:f>
              <c:strCache>
                <c:ptCount val="2"/>
                <c:pt idx="0">
                  <c:v>Veldwerk</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Libellenkartering'!$C$5:$D$5</c:f>
              <c:strCache>
                <c:ptCount val="2"/>
                <c:pt idx="0">
                  <c:v>Niveau 1</c:v>
                </c:pt>
                <c:pt idx="1">
                  <c:v>Niveau 2 </c:v>
                </c:pt>
              </c:strCache>
            </c:strRef>
          </c:cat>
          <c:val>
            <c:numRef>
              <c:f>'9. Libellenkartering'!$C$8:$D$8</c:f>
              <c:numCache>
                <c:formatCode>"€"\ #,##0.00</c:formatCode>
                <c:ptCount val="2"/>
                <c:pt idx="0">
                  <c:v>38.739095238095267</c:v>
                </c:pt>
                <c:pt idx="1">
                  <c:v>30.37262732142861</c:v>
                </c:pt>
              </c:numCache>
            </c:numRef>
          </c:val>
          <c:extLst>
            <c:ext xmlns:c16="http://schemas.microsoft.com/office/drawing/2014/chart" uri="{C3380CC4-5D6E-409C-BE32-E72D297353CC}">
              <c16:uniqueId val="{00000002-9818-4271-B37A-F42F77A47D14}"/>
            </c:ext>
          </c:extLst>
        </c:ser>
        <c:dLbls>
          <c:dLblPos val="ctr"/>
          <c:showLegendKey val="0"/>
          <c:showVal val="1"/>
          <c:showCatName val="0"/>
          <c:showSerName val="0"/>
          <c:showPercent val="0"/>
          <c:showBubbleSize val="0"/>
        </c:dLbls>
        <c:gapWidth val="150"/>
        <c:overlap val="100"/>
        <c:axId val="1055038192"/>
        <c:axId val="1055045264"/>
      </c:barChart>
      <c:catAx>
        <c:axId val="105503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55045264"/>
        <c:crosses val="autoZero"/>
        <c:auto val="1"/>
        <c:lblAlgn val="ctr"/>
        <c:lblOffset val="100"/>
        <c:noMultiLvlLbl val="0"/>
      </c:catAx>
      <c:valAx>
        <c:axId val="1055045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5503819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'10. Bosstructuurkartering'!$A$6:$B$6</c:f>
              <c:strCache>
                <c:ptCount val="2"/>
                <c:pt idx="0">
                  <c:v>bureauwerk </c:v>
                </c:pt>
                <c:pt idx="1">
                  <c:v>TBO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Bosstructuurkartering'!$D$5</c:f>
              <c:strCache>
                <c:ptCount val="1"/>
                <c:pt idx="0">
                  <c:v>NM</c:v>
                </c:pt>
              </c:strCache>
            </c:strRef>
          </c:cat>
          <c:val>
            <c:numRef>
              <c:f>'10. Bosstructuurkartering'!$D$6</c:f>
              <c:numCache>
                <c:formatCode>"€"\ #,##0.00</c:formatCode>
                <c:ptCount val="1"/>
                <c:pt idx="0">
                  <c:v>2.8672868294893616</c:v>
                </c:pt>
              </c:numCache>
            </c:numRef>
          </c:val>
          <c:extLst>
            <c:ext xmlns:c16="http://schemas.microsoft.com/office/drawing/2014/chart" uri="{C3380CC4-5D6E-409C-BE32-E72D297353CC}">
              <c16:uniqueId val="{00000000-53BE-481D-B02D-2AD94DA063E3}"/>
            </c:ext>
          </c:extLst>
        </c:ser>
        <c:ser>
          <c:idx val="1"/>
          <c:order val="1"/>
          <c:tx>
            <c:strRef>
              <c:f>'10. Bosstructuurkartering'!$A$7:$B$7</c:f>
              <c:strCache>
                <c:ptCount val="2"/>
                <c:pt idx="0">
                  <c:v>bureauwerk </c:v>
                </c:pt>
                <c:pt idx="1">
                  <c:v>Karteerbureau</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Bosstructuurkartering'!$D$5</c:f>
              <c:strCache>
                <c:ptCount val="1"/>
                <c:pt idx="0">
                  <c:v>NM</c:v>
                </c:pt>
              </c:strCache>
            </c:strRef>
          </c:cat>
          <c:val>
            <c:numRef>
              <c:f>'10. Bosstructuurkartering'!$D$7</c:f>
              <c:numCache>
                <c:formatCode>"€"\ #,##0.00</c:formatCode>
                <c:ptCount val="1"/>
                <c:pt idx="0">
                  <c:v>9.1322848000000008</c:v>
                </c:pt>
              </c:numCache>
            </c:numRef>
          </c:val>
          <c:extLst>
            <c:ext xmlns:c16="http://schemas.microsoft.com/office/drawing/2014/chart" uri="{C3380CC4-5D6E-409C-BE32-E72D297353CC}">
              <c16:uniqueId val="{00000001-53BE-481D-B02D-2AD94DA063E3}"/>
            </c:ext>
          </c:extLst>
        </c:ser>
        <c:ser>
          <c:idx val="2"/>
          <c:order val="2"/>
          <c:tx>
            <c:strRef>
              <c:f>'10. Bosstructuurkartering'!$A$8:$B$8</c:f>
              <c:strCache>
                <c:ptCount val="2"/>
                <c:pt idx="0">
                  <c:v>Veldwerk</c:v>
                </c:pt>
                <c:pt idx="1">
                  <c:v>Karteerbureau*</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 Bosstructuurkartering'!$D$5</c:f>
              <c:strCache>
                <c:ptCount val="1"/>
                <c:pt idx="0">
                  <c:v>NM</c:v>
                </c:pt>
              </c:strCache>
            </c:strRef>
          </c:cat>
          <c:val>
            <c:numRef>
              <c:f>'10. Bosstructuurkartering'!$D$8</c:f>
              <c:numCache>
                <c:formatCode>"€"\ #,##0.00</c:formatCode>
                <c:ptCount val="1"/>
                <c:pt idx="0">
                  <c:v>13.685400000000001</c:v>
                </c:pt>
              </c:numCache>
            </c:numRef>
          </c:val>
          <c:extLst>
            <c:ext xmlns:c16="http://schemas.microsoft.com/office/drawing/2014/chart" uri="{C3380CC4-5D6E-409C-BE32-E72D297353CC}">
              <c16:uniqueId val="{00000002-53BE-481D-B02D-2AD94DA063E3}"/>
            </c:ext>
          </c:extLst>
        </c:ser>
        <c:dLbls>
          <c:dLblPos val="ctr"/>
          <c:showLegendKey val="0"/>
          <c:showVal val="1"/>
          <c:showCatName val="0"/>
          <c:showSerName val="0"/>
          <c:showPercent val="0"/>
          <c:showBubbleSize val="0"/>
        </c:dLbls>
        <c:gapWidth val="150"/>
        <c:overlap val="100"/>
        <c:axId val="834276256"/>
        <c:axId val="834280416"/>
      </c:barChart>
      <c:catAx>
        <c:axId val="83427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34280416"/>
        <c:crosses val="autoZero"/>
        <c:auto val="1"/>
        <c:lblAlgn val="ctr"/>
        <c:lblOffset val="100"/>
        <c:noMultiLvlLbl val="0"/>
      </c:catAx>
      <c:valAx>
        <c:axId val="834280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nl-NL"/>
                  <a:t>Kosten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itle>
        <c:numFmt formatCode="&quot;€&quot;\ #,##0.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34276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136525</xdr:colOff>
      <xdr:row>39</xdr:row>
      <xdr:rowOff>120650</xdr:rowOff>
    </xdr:from>
    <xdr:to>
      <xdr:col>7</xdr:col>
      <xdr:colOff>279400</xdr:colOff>
      <xdr:row>46</xdr:row>
      <xdr:rowOff>95250</xdr:rowOff>
    </xdr:to>
    <xdr:sp macro="" textlink="">
      <xdr:nvSpPr>
        <xdr:cNvPr id="3" name="Tekstvak 2">
          <a:extLst>
            <a:ext uri="{FF2B5EF4-FFF2-40B4-BE49-F238E27FC236}">
              <a16:creationId xmlns:a16="http://schemas.microsoft.com/office/drawing/2014/main" id="{973CC3A4-953A-6765-94EA-D7919F664591}"/>
            </a:ext>
          </a:extLst>
        </xdr:cNvPr>
        <xdr:cNvSpPr txBox="1"/>
      </xdr:nvSpPr>
      <xdr:spPr>
        <a:xfrm>
          <a:off x="5641975" y="5080000"/>
          <a:ext cx="1946275" cy="863600"/>
        </a:xfrm>
        <a:prstGeom prst="cloud">
          <a:avLst/>
        </a:prstGeom>
        <a:ln w="3175">
          <a:solidFill>
            <a:schemeClr val="accent3"/>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b"/>
        <a:lstStyle/>
        <a:p>
          <a:pPr algn="ctr"/>
          <a:r>
            <a:rPr lang="nl-NL" sz="700"/>
            <a:t>De</a:t>
          </a:r>
          <a:r>
            <a:rPr lang="nl-NL" sz="700" baseline="0"/>
            <a:t> cellen met lijntjes kunnen ingevuld worden. De groene vlakken rekenen 'zelf'. </a:t>
          </a:r>
          <a:endParaRPr lang="nl-NL" sz="7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86</xdr:row>
      <xdr:rowOff>95248</xdr:rowOff>
    </xdr:from>
    <xdr:to>
      <xdr:col>3</xdr:col>
      <xdr:colOff>809625</xdr:colOff>
      <xdr:row>92</xdr:row>
      <xdr:rowOff>38099</xdr:rowOff>
    </xdr:to>
    <xdr:grpSp>
      <xdr:nvGrpSpPr>
        <xdr:cNvPr id="4" name="Groep 3">
          <a:extLst>
            <a:ext uri="{FF2B5EF4-FFF2-40B4-BE49-F238E27FC236}">
              <a16:creationId xmlns:a16="http://schemas.microsoft.com/office/drawing/2014/main" id="{4AEFCC85-5A31-4900-8A4C-AD5B306C1294}"/>
            </a:ext>
          </a:extLst>
        </xdr:cNvPr>
        <xdr:cNvGrpSpPr/>
      </xdr:nvGrpSpPr>
      <xdr:grpSpPr>
        <a:xfrm>
          <a:off x="1" y="14868523"/>
          <a:ext cx="4267199" cy="971551"/>
          <a:chOff x="0" y="7715250"/>
          <a:chExt cx="3611563" cy="492125"/>
        </a:xfrm>
      </xdr:grpSpPr>
      <xdr:grpSp>
        <xdr:nvGrpSpPr>
          <xdr:cNvPr id="2" name="Groep 1">
            <a:extLst>
              <a:ext uri="{FF2B5EF4-FFF2-40B4-BE49-F238E27FC236}">
                <a16:creationId xmlns:a16="http://schemas.microsoft.com/office/drawing/2014/main" id="{BBFAE9D3-401A-4178-9708-A71B11646E33}"/>
              </a:ext>
            </a:extLst>
          </xdr:cNvPr>
          <xdr:cNvGrpSpPr/>
        </xdr:nvGrpSpPr>
        <xdr:grpSpPr>
          <a:xfrm>
            <a:off x="0" y="7715250"/>
            <a:ext cx="2370138" cy="492125"/>
            <a:chOff x="0" y="7715250"/>
            <a:chExt cx="2370138" cy="492125"/>
          </a:xfrm>
        </xdr:grpSpPr>
        <xdr:sp macro="" textlink="">
          <xdr:nvSpPr>
            <xdr:cNvPr id="25" name="Rechthoek: afgeronde hoeken 24">
              <a:extLst>
                <a:ext uri="{FF2B5EF4-FFF2-40B4-BE49-F238E27FC236}">
                  <a16:creationId xmlns:a16="http://schemas.microsoft.com/office/drawing/2014/main" id="{A3D7F7B2-30FA-4F34-86A9-AEB2B4AD3745}"/>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Activiteiten niet standaard in de SNL subsidie</a:t>
              </a:r>
            </a:p>
          </xdr:txBody>
        </xdr:sp>
        <xdr:sp macro="" textlink="">
          <xdr:nvSpPr>
            <xdr:cNvPr id="26" name="Rechthoek: afgeronde hoeken 25">
              <a:extLst>
                <a:ext uri="{FF2B5EF4-FFF2-40B4-BE49-F238E27FC236}">
                  <a16:creationId xmlns:a16="http://schemas.microsoft.com/office/drawing/2014/main" id="{41ECC9A8-65E7-434F-A2A9-E44BA842CE15}"/>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Veldwerkzaamheden per hectare</a:t>
              </a:r>
            </a:p>
          </xdr:txBody>
        </xdr:sp>
      </xdr:grpSp>
      <xdr:sp macro="" textlink="">
        <xdr:nvSpPr>
          <xdr:cNvPr id="29" name="Rechthoek: afgeronde hoeken 28">
            <a:extLst>
              <a:ext uri="{FF2B5EF4-FFF2-40B4-BE49-F238E27FC236}">
                <a16:creationId xmlns:a16="http://schemas.microsoft.com/office/drawing/2014/main" id="{6882CCB2-EF81-4181-BE1B-FA9BBCB549D9}"/>
              </a:ext>
            </a:extLst>
          </xdr:cNvPr>
          <xdr:cNvSpPr/>
        </xdr:nvSpPr>
        <xdr:spPr>
          <a:xfrm>
            <a:off x="2457450" y="7721600"/>
            <a:ext cx="1154113" cy="481012"/>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(Bureau)werkzaamheden</a:t>
            </a:r>
            <a:r>
              <a:rPr lang="nl-NL" sz="700" baseline="0">
                <a:solidFill>
                  <a:sysClr val="windowText" lastClr="000000"/>
                </a:solidFill>
              </a:rPr>
              <a:t> per opdracht/gebied</a:t>
            </a:r>
            <a:endParaRPr lang="nl-NL" sz="700">
              <a:solidFill>
                <a:sysClr val="windowText" lastClr="000000"/>
              </a:solidFill>
            </a:endParaRPr>
          </a:p>
        </xdr:txBody>
      </xdr:sp>
    </xdr:grpSp>
    <xdr:clientData/>
  </xdr:twoCellAnchor>
  <xdr:twoCellAnchor>
    <xdr:from>
      <xdr:col>0</xdr:col>
      <xdr:colOff>146043</xdr:colOff>
      <xdr:row>22</xdr:row>
      <xdr:rowOff>59528</xdr:rowOff>
    </xdr:from>
    <xdr:to>
      <xdr:col>2</xdr:col>
      <xdr:colOff>901812</xdr:colOff>
      <xdr:row>83</xdr:row>
      <xdr:rowOff>122184</xdr:rowOff>
    </xdr:to>
    <xdr:grpSp>
      <xdr:nvGrpSpPr>
        <xdr:cNvPr id="158" name="Groep 157">
          <a:extLst>
            <a:ext uri="{FF2B5EF4-FFF2-40B4-BE49-F238E27FC236}">
              <a16:creationId xmlns:a16="http://schemas.microsoft.com/office/drawing/2014/main" id="{1A69F44C-6B52-E41B-A09A-09469DCE0B55}"/>
            </a:ext>
          </a:extLst>
        </xdr:cNvPr>
        <xdr:cNvGrpSpPr/>
      </xdr:nvGrpSpPr>
      <xdr:grpSpPr>
        <a:xfrm>
          <a:off x="146043" y="3850478"/>
          <a:ext cx="3060819" cy="10530631"/>
          <a:chOff x="146043" y="3452809"/>
          <a:chExt cx="2821192" cy="9872692"/>
        </a:xfrm>
      </xdr:grpSpPr>
      <xdr:cxnSp macro="">
        <xdr:nvCxnSpPr>
          <xdr:cNvPr id="62" name="Rechte verbindingslijn met pijl 61">
            <a:extLst>
              <a:ext uri="{FF2B5EF4-FFF2-40B4-BE49-F238E27FC236}">
                <a16:creationId xmlns:a16="http://schemas.microsoft.com/office/drawing/2014/main" id="{46CECA6E-B5DB-4A07-9055-0BB2B5230FD8}"/>
              </a:ext>
            </a:extLst>
          </xdr:cNvPr>
          <xdr:cNvCxnSpPr>
            <a:stCxn id="21" idx="2"/>
            <a:endCxn id="50" idx="0"/>
          </xdr:cNvCxnSpPr>
        </xdr:nvCxnSpPr>
        <xdr:spPr>
          <a:xfrm flipH="1">
            <a:off x="1565735" y="5701746"/>
            <a:ext cx="9574" cy="3670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157" name="Groep 156">
            <a:extLst>
              <a:ext uri="{FF2B5EF4-FFF2-40B4-BE49-F238E27FC236}">
                <a16:creationId xmlns:a16="http://schemas.microsoft.com/office/drawing/2014/main" id="{2FA7FBE8-4886-3033-8F7F-94BCA78D9C52}"/>
              </a:ext>
            </a:extLst>
          </xdr:cNvPr>
          <xdr:cNvGrpSpPr/>
        </xdr:nvGrpSpPr>
        <xdr:grpSpPr>
          <a:xfrm>
            <a:off x="146043" y="3452809"/>
            <a:ext cx="2821192" cy="9872692"/>
            <a:chOff x="142875" y="3452809"/>
            <a:chExt cx="2827521" cy="9875887"/>
          </a:xfrm>
        </xdr:grpSpPr>
        <xdr:sp macro="" textlink="">
          <xdr:nvSpPr>
            <xdr:cNvPr id="50" name="Stroomdiagram: Beslissing 49">
              <a:extLst>
                <a:ext uri="{FF2B5EF4-FFF2-40B4-BE49-F238E27FC236}">
                  <a16:creationId xmlns:a16="http://schemas.microsoft.com/office/drawing/2014/main" id="{CBB264C2-91A5-D536-E1F7-C4ED818C164D}"/>
                </a:ext>
              </a:extLst>
            </xdr:cNvPr>
            <xdr:cNvSpPr/>
          </xdr:nvSpPr>
          <xdr:spPr>
            <a:xfrm>
              <a:off x="913717" y="6069658"/>
              <a:ext cx="1304069" cy="923653"/>
            </a:xfrm>
            <a:prstGeom prst="flowChartDecision">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nl-NL" sz="800"/>
                <a:t>Cyclus</a:t>
              </a:r>
              <a:r>
                <a:rPr lang="nl-NL" sz="800" baseline="0"/>
                <a:t> 1 of 2 jaar?</a:t>
              </a:r>
              <a:endParaRPr lang="nl-NL" sz="800"/>
            </a:p>
          </xdr:txBody>
        </xdr:sp>
        <xdr:grpSp>
          <xdr:nvGrpSpPr>
            <xdr:cNvPr id="121" name="Groep 120">
              <a:extLst>
                <a:ext uri="{FF2B5EF4-FFF2-40B4-BE49-F238E27FC236}">
                  <a16:creationId xmlns:a16="http://schemas.microsoft.com/office/drawing/2014/main" id="{A016EE75-A795-6205-286E-9FA6B0CF6052}"/>
                </a:ext>
              </a:extLst>
            </xdr:cNvPr>
            <xdr:cNvGrpSpPr/>
          </xdr:nvGrpSpPr>
          <xdr:grpSpPr>
            <a:xfrm>
              <a:off x="142875" y="3452809"/>
              <a:ext cx="2827521" cy="9875887"/>
              <a:chOff x="142875" y="3452809"/>
              <a:chExt cx="2821178" cy="10055723"/>
            </a:xfrm>
          </xdr:grpSpPr>
          <xdr:grpSp>
            <xdr:nvGrpSpPr>
              <xdr:cNvPr id="119" name="Groep 118">
                <a:extLst>
                  <a:ext uri="{FF2B5EF4-FFF2-40B4-BE49-F238E27FC236}">
                    <a16:creationId xmlns:a16="http://schemas.microsoft.com/office/drawing/2014/main" id="{5E58908A-793F-99A3-9F84-849FFE2C616A}"/>
                  </a:ext>
                </a:extLst>
              </xdr:cNvPr>
              <xdr:cNvGrpSpPr/>
            </xdr:nvGrpSpPr>
            <xdr:grpSpPr>
              <a:xfrm>
                <a:off x="142875" y="3452809"/>
                <a:ext cx="2821178" cy="10055723"/>
                <a:chOff x="142875" y="3452809"/>
                <a:chExt cx="2821178" cy="10055723"/>
              </a:xfrm>
            </xdr:grpSpPr>
            <xdr:grpSp>
              <xdr:nvGrpSpPr>
                <xdr:cNvPr id="100" name="Groep 99">
                  <a:extLst>
                    <a:ext uri="{FF2B5EF4-FFF2-40B4-BE49-F238E27FC236}">
                      <a16:creationId xmlns:a16="http://schemas.microsoft.com/office/drawing/2014/main" id="{A54658A7-94D9-422D-B589-E9955B447D04}"/>
                    </a:ext>
                  </a:extLst>
                </xdr:cNvPr>
                <xdr:cNvGrpSpPr/>
              </xdr:nvGrpSpPr>
              <xdr:grpSpPr>
                <a:xfrm>
                  <a:off x="142875" y="3452809"/>
                  <a:ext cx="2821178" cy="10055723"/>
                  <a:chOff x="93280" y="3288925"/>
                  <a:chExt cx="2851138" cy="8309595"/>
                </a:xfrm>
              </xdr:grpSpPr>
              <xdr:grpSp>
                <xdr:nvGrpSpPr>
                  <xdr:cNvPr id="68" name="Groep 67">
                    <a:extLst>
                      <a:ext uri="{FF2B5EF4-FFF2-40B4-BE49-F238E27FC236}">
                        <a16:creationId xmlns:a16="http://schemas.microsoft.com/office/drawing/2014/main" id="{E662B2C7-E697-43F3-99B3-3BB5E61CDDA4}"/>
                      </a:ext>
                    </a:extLst>
                  </xdr:cNvPr>
                  <xdr:cNvGrpSpPr/>
                </xdr:nvGrpSpPr>
                <xdr:grpSpPr>
                  <a:xfrm>
                    <a:off x="93280" y="3288925"/>
                    <a:ext cx="2851138" cy="8309595"/>
                    <a:chOff x="324573" y="1059607"/>
                    <a:chExt cx="2569873" cy="6545430"/>
                  </a:xfrm>
                </xdr:grpSpPr>
                <xdr:grpSp>
                  <xdr:nvGrpSpPr>
                    <xdr:cNvPr id="52" name="Groep 51">
                      <a:extLst>
                        <a:ext uri="{FF2B5EF4-FFF2-40B4-BE49-F238E27FC236}">
                          <a16:creationId xmlns:a16="http://schemas.microsoft.com/office/drawing/2014/main" id="{7F888657-A0FC-4EA3-A2A9-3033C80295F5}"/>
                        </a:ext>
                      </a:extLst>
                    </xdr:cNvPr>
                    <xdr:cNvGrpSpPr/>
                  </xdr:nvGrpSpPr>
                  <xdr:grpSpPr>
                    <a:xfrm>
                      <a:off x="324573" y="1059607"/>
                      <a:ext cx="2569873" cy="6545430"/>
                      <a:chOff x="327748" y="1062686"/>
                      <a:chExt cx="2569873" cy="6542200"/>
                    </a:xfrm>
                  </xdr:grpSpPr>
                  <xdr:grpSp>
                    <xdr:nvGrpSpPr>
                      <xdr:cNvPr id="39" name="Groep 38">
                        <a:extLst>
                          <a:ext uri="{FF2B5EF4-FFF2-40B4-BE49-F238E27FC236}">
                            <a16:creationId xmlns:a16="http://schemas.microsoft.com/office/drawing/2014/main" id="{9F537F9D-8BE8-48CD-B13C-0CE17F6A8407}"/>
                          </a:ext>
                        </a:extLst>
                      </xdr:cNvPr>
                      <xdr:cNvGrpSpPr/>
                    </xdr:nvGrpSpPr>
                    <xdr:grpSpPr>
                      <a:xfrm>
                        <a:off x="961289" y="1062686"/>
                        <a:ext cx="1936332" cy="6542200"/>
                        <a:chOff x="182244" y="1023716"/>
                        <a:chExt cx="1950790" cy="6510443"/>
                      </a:xfrm>
                    </xdr:grpSpPr>
                    <xdr:sp macro="" textlink="">
                      <xdr:nvSpPr>
                        <xdr:cNvPr id="13" name="Rechthoek: afgeronde hoeken 12">
                          <a:extLst>
                            <a:ext uri="{FF2B5EF4-FFF2-40B4-BE49-F238E27FC236}">
                              <a16:creationId xmlns:a16="http://schemas.microsoft.com/office/drawing/2014/main" id="{2F055833-A778-4DF5-960E-0A79119BD3C5}"/>
                            </a:ext>
                          </a:extLst>
                        </xdr:cNvPr>
                        <xdr:cNvSpPr/>
                      </xdr:nvSpPr>
                      <xdr:spPr>
                        <a:xfrm>
                          <a:off x="285852" y="1023716"/>
                          <a:ext cx="1172851" cy="498375"/>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21" name="Rechthoek 20">
                          <a:extLst>
                            <a:ext uri="{FF2B5EF4-FFF2-40B4-BE49-F238E27FC236}">
                              <a16:creationId xmlns:a16="http://schemas.microsoft.com/office/drawing/2014/main" id="{68B3BB73-330E-4721-8C0C-EB07DA129A01}"/>
                            </a:ext>
                          </a:extLst>
                        </xdr:cNvPr>
                        <xdr:cNvSpPr/>
                      </xdr:nvSpPr>
                      <xdr:spPr>
                        <a:xfrm>
                          <a:off x="269212" y="2008687"/>
                          <a:ext cx="1172851" cy="49806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sp macro="" textlink="">
                      <xdr:nvSpPr>
                        <xdr:cNvPr id="22" name="Stroomdiagram: Proces 21">
                          <a:extLst>
                            <a:ext uri="{FF2B5EF4-FFF2-40B4-BE49-F238E27FC236}">
                              <a16:creationId xmlns:a16="http://schemas.microsoft.com/office/drawing/2014/main" id="{A0D1A118-821B-4C77-85FF-8CC4759D2C40}"/>
                            </a:ext>
                          </a:extLst>
                        </xdr:cNvPr>
                        <xdr:cNvSpPr/>
                      </xdr:nvSpPr>
                      <xdr:spPr>
                        <a:xfrm>
                          <a:off x="958545" y="3505179"/>
                          <a:ext cx="1172851" cy="498214"/>
                        </a:xfrm>
                        <a:prstGeom prst="flowChartProcess">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3.1 Veldbezoek vegetatieopnamen</a:t>
                          </a:r>
                          <a:br>
                            <a:rPr lang="nl-NL" sz="800">
                              <a:solidFill>
                                <a:sysClr val="windowText" lastClr="000000"/>
                              </a:solidFill>
                            </a:rPr>
                          </a:br>
                          <a:r>
                            <a:rPr lang="nl-NL" sz="700">
                              <a:solidFill>
                                <a:sysClr val="windowText" lastClr="000000"/>
                              </a:solidFill>
                            </a:rPr>
                            <a:t>(jaar</a:t>
                          </a:r>
                          <a:r>
                            <a:rPr lang="nl-NL" sz="700" baseline="0">
                              <a:solidFill>
                                <a:sysClr val="windowText" lastClr="000000"/>
                              </a:solidFill>
                            </a:rPr>
                            <a:t> 1)</a:t>
                          </a:r>
                          <a:r>
                            <a:rPr lang="nl-NL" sz="700">
                              <a:solidFill>
                                <a:sysClr val="windowText" lastClr="000000"/>
                              </a:solidFill>
                            </a:rPr>
                            <a:t> </a:t>
                          </a:r>
                          <a:endParaRPr lang="nl-NL" sz="800">
                            <a:solidFill>
                              <a:sysClr val="windowText" lastClr="000000"/>
                            </a:solidFill>
                          </a:endParaRPr>
                        </a:p>
                      </xdr:txBody>
                    </xdr:sp>
                    <xdr:sp macro="" textlink="">
                      <xdr:nvSpPr>
                        <xdr:cNvPr id="23" name="Stroomdiagram: Proces 22">
                          <a:extLst>
                            <a:ext uri="{FF2B5EF4-FFF2-40B4-BE49-F238E27FC236}">
                              <a16:creationId xmlns:a16="http://schemas.microsoft.com/office/drawing/2014/main" id="{3020CA30-0C61-4928-B413-ED35035B9986}"/>
                            </a:ext>
                          </a:extLst>
                        </xdr:cNvPr>
                        <xdr:cNvSpPr/>
                      </xdr:nvSpPr>
                      <xdr:spPr>
                        <a:xfrm>
                          <a:off x="957535" y="4216891"/>
                          <a:ext cx="1175499" cy="498228"/>
                        </a:xfrm>
                        <a:prstGeom prst="flowChartProcess">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baseline="0">
                              <a:solidFill>
                                <a:sysClr val="windowText" lastClr="000000"/>
                              </a:solidFill>
                            </a:rPr>
                            <a:t>3.3</a:t>
                          </a:r>
                          <a:r>
                            <a:rPr lang="nl-NL" sz="800">
                              <a:solidFill>
                                <a:sysClr val="windowText" lastClr="000000"/>
                              </a:solidFill>
                            </a:rPr>
                            <a:t> Veldbezoek vegetatiekaart)</a:t>
                          </a:r>
                          <a:br>
                            <a:rPr lang="nl-NL" sz="800">
                              <a:solidFill>
                                <a:sysClr val="windowText" lastClr="000000"/>
                              </a:solidFill>
                            </a:rPr>
                          </a:br>
                          <a:r>
                            <a:rPr lang="nl-NL" sz="700">
                              <a:solidFill>
                                <a:sysClr val="windowText" lastClr="000000"/>
                              </a:solidFill>
                            </a:rPr>
                            <a:t>(jaar</a:t>
                          </a:r>
                          <a:r>
                            <a:rPr lang="nl-NL" sz="700" baseline="0">
                              <a:solidFill>
                                <a:sysClr val="windowText" lastClr="000000"/>
                              </a:solidFill>
                            </a:rPr>
                            <a:t> 2)</a:t>
                          </a:r>
                          <a:r>
                            <a:rPr lang="nl-NL" sz="700">
                              <a:solidFill>
                                <a:sysClr val="windowText" lastClr="000000"/>
                              </a:solidFill>
                            </a:rPr>
                            <a:t> </a:t>
                          </a:r>
                          <a:endParaRPr lang="nl-NL" sz="800">
                            <a:solidFill>
                              <a:sysClr val="windowText" lastClr="000000"/>
                            </a:solidFill>
                          </a:endParaRPr>
                        </a:p>
                      </xdr:txBody>
                    </xdr:sp>
                    <xdr:sp macro="" textlink="">
                      <xdr:nvSpPr>
                        <xdr:cNvPr id="24" name="Stroomdiagram: Proces 23">
                          <a:extLst>
                            <a:ext uri="{FF2B5EF4-FFF2-40B4-BE49-F238E27FC236}">
                              <a16:creationId xmlns:a16="http://schemas.microsoft.com/office/drawing/2014/main" id="{8B9E4E4B-9372-4C12-84BB-A9BC07B50F8C}"/>
                            </a:ext>
                          </a:extLst>
                        </xdr:cNvPr>
                        <xdr:cNvSpPr/>
                      </xdr:nvSpPr>
                      <xdr:spPr>
                        <a:xfrm>
                          <a:off x="188319" y="5719668"/>
                          <a:ext cx="1172887" cy="498375"/>
                        </a:xfrm>
                        <a:prstGeom prst="flowChartProcess">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5. Verwerken en opleveren gegevens</a:t>
                          </a:r>
                        </a:p>
                      </xdr:txBody>
                    </xdr:sp>
                    <xdr:sp macro="" textlink="">
                      <xdr:nvSpPr>
                        <xdr:cNvPr id="27" name="Stroomdiagram: Proces 26">
                          <a:extLst>
                            <a:ext uri="{FF2B5EF4-FFF2-40B4-BE49-F238E27FC236}">
                              <a16:creationId xmlns:a16="http://schemas.microsoft.com/office/drawing/2014/main" id="{5BA3A23A-A9EB-499E-9E99-28EED036E9A4}"/>
                            </a:ext>
                          </a:extLst>
                        </xdr:cNvPr>
                        <xdr:cNvSpPr/>
                      </xdr:nvSpPr>
                      <xdr:spPr>
                        <a:xfrm>
                          <a:off x="185423" y="6349986"/>
                          <a:ext cx="1172886" cy="499126"/>
                        </a:xfrm>
                        <a:prstGeom prst="flowChartProcess">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6. Begeleiding door TBO's</a:t>
                          </a:r>
                        </a:p>
                      </xdr:txBody>
                    </xdr:sp>
                    <xdr:sp macro="" textlink="">
                      <xdr:nvSpPr>
                        <xdr:cNvPr id="28" name="Stroomdiagram: Proces 27">
                          <a:extLst>
                            <a:ext uri="{FF2B5EF4-FFF2-40B4-BE49-F238E27FC236}">
                              <a16:creationId xmlns:a16="http://schemas.microsoft.com/office/drawing/2014/main" id="{C2946F58-2B26-4BC6-9762-4768E771EFCE}"/>
                            </a:ext>
                          </a:extLst>
                        </xdr:cNvPr>
                        <xdr:cNvSpPr/>
                      </xdr:nvSpPr>
                      <xdr:spPr>
                        <a:xfrm>
                          <a:off x="182244" y="7035193"/>
                          <a:ext cx="1175499" cy="498966"/>
                        </a:xfrm>
                        <a:prstGeom prst="flowChartProcess">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7.</a:t>
                          </a:r>
                          <a:r>
                            <a:rPr lang="nl-NL" sz="800" baseline="0">
                              <a:solidFill>
                                <a:sysClr val="windowText" lastClr="000000"/>
                              </a:solidFill>
                            </a:rPr>
                            <a:t> Habitattypekaart</a:t>
                          </a:r>
                          <a:endParaRPr lang="nl-NL" sz="800">
                            <a:solidFill>
                              <a:sysClr val="windowText" lastClr="000000"/>
                            </a:solidFill>
                          </a:endParaRPr>
                        </a:p>
                      </xdr:txBody>
                    </xdr:sp>
                    <xdr:cxnSp macro="">
                      <xdr:nvCxnSpPr>
                        <xdr:cNvPr id="3" name="Rechte verbindingslijn met pijl 2">
                          <a:extLst>
                            <a:ext uri="{FF2B5EF4-FFF2-40B4-BE49-F238E27FC236}">
                              <a16:creationId xmlns:a16="http://schemas.microsoft.com/office/drawing/2014/main" id="{E81CD34A-CCF2-4F21-B6C7-312C3DA5D196}"/>
                            </a:ext>
                          </a:extLst>
                        </xdr:cNvPr>
                        <xdr:cNvCxnSpPr>
                          <a:stCxn id="13" idx="2"/>
                          <a:endCxn id="21" idx="0"/>
                        </xdr:cNvCxnSpPr>
                      </xdr:nvCxnSpPr>
                      <xdr:spPr>
                        <a:xfrm flipH="1">
                          <a:off x="855638" y="1522091"/>
                          <a:ext cx="16640" cy="4865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Rechte verbindingslijn met pijl 19">
                          <a:extLst>
                            <a:ext uri="{FF2B5EF4-FFF2-40B4-BE49-F238E27FC236}">
                              <a16:creationId xmlns:a16="http://schemas.microsoft.com/office/drawing/2014/main" id="{273231FD-FAFA-4713-9483-270091903D8D}"/>
                            </a:ext>
                          </a:extLst>
                        </xdr:cNvPr>
                        <xdr:cNvCxnSpPr>
                          <a:stCxn id="22" idx="2"/>
                          <a:endCxn id="23" idx="0"/>
                        </xdr:cNvCxnSpPr>
                      </xdr:nvCxnSpPr>
                      <xdr:spPr>
                        <a:xfrm>
                          <a:off x="1544971" y="4003393"/>
                          <a:ext cx="313" cy="2134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Rechte verbindingslijn met pijl 29">
                          <a:extLst>
                            <a:ext uri="{FF2B5EF4-FFF2-40B4-BE49-F238E27FC236}">
                              <a16:creationId xmlns:a16="http://schemas.microsoft.com/office/drawing/2014/main" id="{56D19710-D0CB-40C8-A648-7769CE6CEFE4}"/>
                            </a:ext>
                          </a:extLst>
                        </xdr:cNvPr>
                        <xdr:cNvCxnSpPr>
                          <a:stCxn id="24" idx="2"/>
                          <a:endCxn id="27" idx="0"/>
                        </xdr:cNvCxnSpPr>
                      </xdr:nvCxnSpPr>
                      <xdr:spPr>
                        <a:xfrm flipH="1">
                          <a:off x="771866" y="6218043"/>
                          <a:ext cx="2896" cy="131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Rechte verbindingslijn met pijl 34">
                          <a:extLst>
                            <a:ext uri="{FF2B5EF4-FFF2-40B4-BE49-F238E27FC236}">
                              <a16:creationId xmlns:a16="http://schemas.microsoft.com/office/drawing/2014/main" id="{417120AA-A75A-41D9-B71E-9FFA1F98818A}"/>
                            </a:ext>
                          </a:extLst>
                        </xdr:cNvPr>
                        <xdr:cNvCxnSpPr>
                          <a:stCxn id="27" idx="2"/>
                          <a:endCxn id="28" idx="0"/>
                        </xdr:cNvCxnSpPr>
                      </xdr:nvCxnSpPr>
                      <xdr:spPr>
                        <a:xfrm flipH="1">
                          <a:off x="769994" y="6849112"/>
                          <a:ext cx="1872" cy="1860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4" name="Stroomdiagram: Proces 43">
                        <a:extLst>
                          <a:ext uri="{FF2B5EF4-FFF2-40B4-BE49-F238E27FC236}">
                            <a16:creationId xmlns:a16="http://schemas.microsoft.com/office/drawing/2014/main" id="{8094DF39-D6AA-4CA0-9309-B05DCB956EDE}"/>
                          </a:ext>
                        </a:extLst>
                      </xdr:cNvPr>
                      <xdr:cNvSpPr/>
                    </xdr:nvSpPr>
                    <xdr:spPr>
                      <a:xfrm>
                        <a:off x="327748" y="3833121"/>
                        <a:ext cx="1164158" cy="500806"/>
                      </a:xfrm>
                      <a:prstGeom prst="flowChartProcess">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Veldbezoek vegetatieopnamen en</a:t>
                        </a:r>
                        <a:r>
                          <a:rPr lang="nl-NL" sz="800" baseline="0">
                            <a:solidFill>
                              <a:sysClr val="windowText" lastClr="000000"/>
                            </a:solidFill>
                          </a:rPr>
                          <a:t> vegetatiekaart</a:t>
                        </a:r>
                        <a:r>
                          <a:rPr lang="nl-NL" sz="800">
                            <a:solidFill>
                              <a:sysClr val="windowText" lastClr="000000"/>
                            </a:solidFill>
                          </a:rPr>
                          <a:t> </a:t>
                        </a:r>
                      </a:p>
                    </xdr:txBody>
                  </xdr:sp>
                </xdr:grpSp>
                <xdr:cxnSp macro="">
                  <xdr:nvCxnSpPr>
                    <xdr:cNvPr id="54" name="Verbindingslijn: gebogen 53">
                      <a:extLst>
                        <a:ext uri="{FF2B5EF4-FFF2-40B4-BE49-F238E27FC236}">
                          <a16:creationId xmlns:a16="http://schemas.microsoft.com/office/drawing/2014/main" id="{C21710A5-192E-4819-8A60-438C35F2A267}"/>
                        </a:ext>
                      </a:extLst>
                    </xdr:cNvPr>
                    <xdr:cNvCxnSpPr>
                      <a:stCxn id="50" idx="2"/>
                      <a:endCxn id="22" idx="0"/>
                    </xdr:cNvCxnSpPr>
                  </xdr:nvCxnSpPr>
                  <xdr:spPr>
                    <a:xfrm rot="16200000" flipH="1">
                      <a:off x="1890137" y="3133800"/>
                      <a:ext cx="148263" cy="69294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Verbindingslijn: gebogen 56">
                      <a:extLst>
                        <a:ext uri="{FF2B5EF4-FFF2-40B4-BE49-F238E27FC236}">
                          <a16:creationId xmlns:a16="http://schemas.microsoft.com/office/drawing/2014/main" id="{99F9CA27-C7D3-4B2F-89DF-9C1C08463647}"/>
                        </a:ext>
                      </a:extLst>
                    </xdr:cNvPr>
                    <xdr:cNvCxnSpPr>
                      <a:stCxn id="50" idx="2"/>
                      <a:endCxn id="44" idx="0"/>
                    </xdr:cNvCxnSpPr>
                  </xdr:nvCxnSpPr>
                  <xdr:spPr>
                    <a:xfrm rot="5400000">
                      <a:off x="1049590" y="3263204"/>
                      <a:ext cx="425269" cy="711143"/>
                    </a:xfrm>
                    <a:prstGeom prst="bentConnector3">
                      <a:avLst>
                        <a:gd name="adj1" fmla="val 16989"/>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Verbindingslijn: gebogen 60">
                      <a:extLst>
                        <a:ext uri="{FF2B5EF4-FFF2-40B4-BE49-F238E27FC236}">
                          <a16:creationId xmlns:a16="http://schemas.microsoft.com/office/drawing/2014/main" id="{1B65D272-4AE9-4BCF-9844-08EC6E4F3243}"/>
                        </a:ext>
                      </a:extLst>
                    </xdr:cNvPr>
                    <xdr:cNvCxnSpPr>
                      <a:cxnSpLocks/>
                      <a:stCxn id="44" idx="2"/>
                      <a:endCxn id="60" idx="0"/>
                    </xdr:cNvCxnSpPr>
                  </xdr:nvCxnSpPr>
                  <xdr:spPr>
                    <a:xfrm rot="16200000" flipH="1">
                      <a:off x="820527" y="4418588"/>
                      <a:ext cx="811646" cy="639395"/>
                    </a:xfrm>
                    <a:prstGeom prst="bentConnector3">
                      <a:avLst>
                        <a:gd name="adj1" fmla="val 7698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Verbindingslijn: gebogen 63">
                      <a:extLst>
                        <a:ext uri="{FF2B5EF4-FFF2-40B4-BE49-F238E27FC236}">
                          <a16:creationId xmlns:a16="http://schemas.microsoft.com/office/drawing/2014/main" id="{FAC6107C-7EB9-4349-8445-ECF299300B66}"/>
                        </a:ext>
                      </a:extLst>
                    </xdr:cNvPr>
                    <xdr:cNvCxnSpPr>
                      <a:cxnSpLocks/>
                      <a:stCxn id="23" idx="2"/>
                      <a:endCxn id="60" idx="0"/>
                    </xdr:cNvCxnSpPr>
                  </xdr:nvCxnSpPr>
                  <xdr:spPr>
                    <a:xfrm rot="5400000">
                      <a:off x="1741920" y="4574975"/>
                      <a:ext cx="373261" cy="76500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Stroomdiagram: Proces 59">
                    <a:extLst>
                      <a:ext uri="{FF2B5EF4-FFF2-40B4-BE49-F238E27FC236}">
                        <a16:creationId xmlns:a16="http://schemas.microsoft.com/office/drawing/2014/main" id="{CA47D399-899D-4492-9443-2522713391BC}"/>
                      </a:ext>
                    </a:extLst>
                  </xdr:cNvPr>
                  <xdr:cNvSpPr/>
                </xdr:nvSpPr>
                <xdr:spPr>
                  <a:xfrm>
                    <a:off x="802635" y="8474307"/>
                    <a:ext cx="1291611" cy="635894"/>
                  </a:xfrm>
                  <a:prstGeom prst="flowChartProcess">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Structuur</a:t>
                    </a:r>
                    <a:r>
                      <a:rPr lang="nl-NL" sz="800" baseline="0">
                        <a:solidFill>
                          <a:sysClr val="windowText" lastClr="000000"/>
                        </a:solidFill>
                      </a:rPr>
                      <a:t>elementen</a:t>
                    </a:r>
                    <a:endParaRPr lang="nl-NL" sz="800">
                      <a:solidFill>
                        <a:sysClr val="windowText" lastClr="000000"/>
                      </a:solidFill>
                    </a:endParaRPr>
                  </a:p>
                </xdr:txBody>
              </xdr:sp>
              <xdr:cxnSp macro="">
                <xdr:nvCxnSpPr>
                  <xdr:cNvPr id="84" name="Rechte verbindingslijn met pijl 83">
                    <a:extLst>
                      <a:ext uri="{FF2B5EF4-FFF2-40B4-BE49-F238E27FC236}">
                        <a16:creationId xmlns:a16="http://schemas.microsoft.com/office/drawing/2014/main" id="{D743E724-2AA9-481C-BE90-08BB0678853B}"/>
                      </a:ext>
                    </a:extLst>
                  </xdr:cNvPr>
                  <xdr:cNvCxnSpPr>
                    <a:cxnSpLocks/>
                    <a:stCxn id="60" idx="2"/>
                    <a:endCxn id="24" idx="0"/>
                  </xdr:cNvCxnSpPr>
                </xdr:nvCxnSpPr>
                <xdr:spPr>
                  <a:xfrm>
                    <a:off x="1448441" y="9110201"/>
                    <a:ext cx="215" cy="1723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Tekstvak 116">
                  <a:extLst>
                    <a:ext uri="{FF2B5EF4-FFF2-40B4-BE49-F238E27FC236}">
                      <a16:creationId xmlns:a16="http://schemas.microsoft.com/office/drawing/2014/main" id="{1AD0DC0B-9F24-F9BF-24B1-6E4C7AC109A9}"/>
                    </a:ext>
                  </a:extLst>
                </xdr:cNvPr>
                <xdr:cNvSpPr txBox="1"/>
              </xdr:nvSpPr>
              <xdr:spPr>
                <a:xfrm>
                  <a:off x="822028" y="6866721"/>
                  <a:ext cx="488339" cy="213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l-NL" sz="800"/>
                    <a:t>1 jaar</a:t>
                  </a:r>
                </a:p>
              </xdr:txBody>
            </xdr:sp>
          </xdr:grpSp>
          <xdr:sp macro="" textlink="">
            <xdr:nvSpPr>
              <xdr:cNvPr id="120" name="Tekstvak 119">
                <a:extLst>
                  <a:ext uri="{FF2B5EF4-FFF2-40B4-BE49-F238E27FC236}">
                    <a16:creationId xmlns:a16="http://schemas.microsoft.com/office/drawing/2014/main" id="{0FC89442-9B21-40A3-924B-769E99B87126}"/>
                  </a:ext>
                </a:extLst>
              </xdr:cNvPr>
              <xdr:cNvSpPr txBox="1"/>
            </xdr:nvSpPr>
            <xdr:spPr>
              <a:xfrm>
                <a:off x="1835373" y="6993273"/>
                <a:ext cx="485164" cy="22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l-NL" sz="800"/>
                  <a:t>2 jaar</a:t>
                </a:r>
              </a:p>
            </xdr:txBody>
          </xdr:sp>
        </xdr:grpSp>
      </xdr:grpSp>
    </xdr:grpSp>
    <xdr:clientData/>
  </xdr:twoCellAnchor>
  <xdr:twoCellAnchor>
    <xdr:from>
      <xdr:col>15</xdr:col>
      <xdr:colOff>29828</xdr:colOff>
      <xdr:row>4</xdr:row>
      <xdr:rowOff>15875</xdr:rowOff>
    </xdr:from>
    <xdr:to>
      <xdr:col>18</xdr:col>
      <xdr:colOff>701675</xdr:colOff>
      <xdr:row>16</xdr:row>
      <xdr:rowOff>104774</xdr:rowOff>
    </xdr:to>
    <xdr:graphicFrame macro="">
      <xdr:nvGraphicFramePr>
        <xdr:cNvPr id="6" name="Grafiek 5">
          <a:extLst>
            <a:ext uri="{FF2B5EF4-FFF2-40B4-BE49-F238E27FC236}">
              <a16:creationId xmlns:a16="http://schemas.microsoft.com/office/drawing/2014/main" id="{5BC8B7D0-D54B-BBFA-C289-1FB910357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xdr:colOff>
      <xdr:row>68</xdr:row>
      <xdr:rowOff>88899</xdr:rowOff>
    </xdr:from>
    <xdr:to>
      <xdr:col>4</xdr:col>
      <xdr:colOff>264583</xdr:colOff>
      <xdr:row>73</xdr:row>
      <xdr:rowOff>169333</xdr:rowOff>
    </xdr:to>
    <xdr:grpSp>
      <xdr:nvGrpSpPr>
        <xdr:cNvPr id="16" name="Groep 15">
          <a:extLst>
            <a:ext uri="{FF2B5EF4-FFF2-40B4-BE49-F238E27FC236}">
              <a16:creationId xmlns:a16="http://schemas.microsoft.com/office/drawing/2014/main" id="{CE4E02DC-221B-4E4D-8C7B-7CE5FAB412A2}"/>
            </a:ext>
          </a:extLst>
        </xdr:cNvPr>
        <xdr:cNvGrpSpPr/>
      </xdr:nvGrpSpPr>
      <xdr:grpSpPr>
        <a:xfrm>
          <a:off x="15875" y="11995149"/>
          <a:ext cx="4858808" cy="937684"/>
          <a:chOff x="0" y="7715250"/>
          <a:chExt cx="3608370" cy="492125"/>
        </a:xfrm>
      </xdr:grpSpPr>
      <xdr:grpSp>
        <xdr:nvGrpSpPr>
          <xdr:cNvPr id="20" name="Groep 19">
            <a:extLst>
              <a:ext uri="{FF2B5EF4-FFF2-40B4-BE49-F238E27FC236}">
                <a16:creationId xmlns:a16="http://schemas.microsoft.com/office/drawing/2014/main" id="{1BC925A6-250A-43A9-97E0-1FA1091B5C7A}"/>
              </a:ext>
            </a:extLst>
          </xdr:cNvPr>
          <xdr:cNvGrpSpPr/>
        </xdr:nvGrpSpPr>
        <xdr:grpSpPr>
          <a:xfrm>
            <a:off x="0" y="7715250"/>
            <a:ext cx="2370138" cy="492125"/>
            <a:chOff x="0" y="7715250"/>
            <a:chExt cx="2370138" cy="492125"/>
          </a:xfrm>
        </xdr:grpSpPr>
        <xdr:sp macro="" textlink="">
          <xdr:nvSpPr>
            <xdr:cNvPr id="22" name="Rechthoek: afgeronde hoeken 21">
              <a:extLst>
                <a:ext uri="{FF2B5EF4-FFF2-40B4-BE49-F238E27FC236}">
                  <a16:creationId xmlns:a16="http://schemas.microsoft.com/office/drawing/2014/main" id="{50DB2546-EAF1-450F-9BAE-E324C4B70659}"/>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Activiteiten niet standaard in de SNL subsidie</a:t>
              </a:r>
            </a:p>
          </xdr:txBody>
        </xdr:sp>
        <xdr:sp macro="" textlink="">
          <xdr:nvSpPr>
            <xdr:cNvPr id="23" name="Rechthoek: afgeronde hoeken 22">
              <a:extLst>
                <a:ext uri="{FF2B5EF4-FFF2-40B4-BE49-F238E27FC236}">
                  <a16:creationId xmlns:a16="http://schemas.microsoft.com/office/drawing/2014/main" id="{870DC079-F8D1-4A56-B9FD-923D7C2547EE}"/>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Veldwerkzaamheden per hectare</a:t>
              </a:r>
            </a:p>
          </xdr:txBody>
        </xdr:sp>
      </xdr:grpSp>
      <xdr:sp macro="" textlink="">
        <xdr:nvSpPr>
          <xdr:cNvPr id="21" name="Rechthoek: afgeronde hoeken 20">
            <a:extLst>
              <a:ext uri="{FF2B5EF4-FFF2-40B4-BE49-F238E27FC236}">
                <a16:creationId xmlns:a16="http://schemas.microsoft.com/office/drawing/2014/main" id="{7E9E9A3F-5D1F-4953-AFA3-0AAA9E5F469F}"/>
              </a:ext>
            </a:extLst>
          </xdr:cNvPr>
          <xdr:cNvSpPr/>
        </xdr:nvSpPr>
        <xdr:spPr>
          <a:xfrm>
            <a:off x="2455277" y="7718425"/>
            <a:ext cx="1153093" cy="484156"/>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700">
                <a:solidFill>
                  <a:sysClr val="windowText" lastClr="000000"/>
                </a:solidFill>
              </a:rPr>
              <a:t>(Bureau)werkzaamheden</a:t>
            </a:r>
            <a:r>
              <a:rPr lang="nl-NL" sz="700" baseline="0">
                <a:solidFill>
                  <a:sysClr val="windowText" lastClr="000000"/>
                </a:solidFill>
              </a:rPr>
              <a:t> per opdracht/gebied</a:t>
            </a:r>
            <a:endParaRPr lang="nl-NL" sz="700">
              <a:solidFill>
                <a:sysClr val="windowText" lastClr="000000"/>
              </a:solidFill>
            </a:endParaRPr>
          </a:p>
        </xdr:txBody>
      </xdr:sp>
    </xdr:grpSp>
    <xdr:clientData/>
  </xdr:twoCellAnchor>
  <xdr:twoCellAnchor>
    <xdr:from>
      <xdr:col>0</xdr:col>
      <xdr:colOff>552606</xdr:colOff>
      <xdr:row>21</xdr:row>
      <xdr:rowOff>86064</xdr:rowOff>
    </xdr:from>
    <xdr:to>
      <xdr:col>2</xdr:col>
      <xdr:colOff>240526</xdr:colOff>
      <xdr:row>65</xdr:row>
      <xdr:rowOff>97720</xdr:rowOff>
    </xdr:to>
    <xdr:grpSp>
      <xdr:nvGrpSpPr>
        <xdr:cNvPr id="42" name="Groep 41">
          <a:extLst>
            <a:ext uri="{FF2B5EF4-FFF2-40B4-BE49-F238E27FC236}">
              <a16:creationId xmlns:a16="http://schemas.microsoft.com/office/drawing/2014/main" id="{F8063DD4-B9BF-AD5F-495E-72D0CDD9AC20}"/>
            </a:ext>
          </a:extLst>
        </xdr:cNvPr>
        <xdr:cNvGrpSpPr/>
      </xdr:nvGrpSpPr>
      <xdr:grpSpPr>
        <a:xfrm>
          <a:off x="552606" y="3781764"/>
          <a:ext cx="1992970" cy="7707856"/>
          <a:chOff x="508094" y="3502336"/>
          <a:chExt cx="1314601" cy="7447381"/>
        </a:xfrm>
      </xdr:grpSpPr>
      <xdr:grpSp>
        <xdr:nvGrpSpPr>
          <xdr:cNvPr id="41" name="Groep 40">
            <a:extLst>
              <a:ext uri="{FF2B5EF4-FFF2-40B4-BE49-F238E27FC236}">
                <a16:creationId xmlns:a16="http://schemas.microsoft.com/office/drawing/2014/main" id="{DD7B0393-E9AE-7E9E-B701-BA6FE1C092B7}"/>
              </a:ext>
            </a:extLst>
          </xdr:cNvPr>
          <xdr:cNvGrpSpPr/>
        </xdr:nvGrpSpPr>
        <xdr:grpSpPr>
          <a:xfrm>
            <a:off x="508094" y="3502336"/>
            <a:ext cx="1314601" cy="7447381"/>
            <a:chOff x="504841" y="3499161"/>
            <a:chExt cx="1320997" cy="7447381"/>
          </a:xfrm>
        </xdr:grpSpPr>
        <xdr:grpSp>
          <xdr:nvGrpSpPr>
            <xdr:cNvPr id="61" name="Groep 60">
              <a:extLst>
                <a:ext uri="{FF2B5EF4-FFF2-40B4-BE49-F238E27FC236}">
                  <a16:creationId xmlns:a16="http://schemas.microsoft.com/office/drawing/2014/main" id="{875A2699-663E-42AF-97ED-E4FFC1CE6241}"/>
                </a:ext>
              </a:extLst>
            </xdr:cNvPr>
            <xdr:cNvGrpSpPr/>
          </xdr:nvGrpSpPr>
          <xdr:grpSpPr>
            <a:xfrm>
              <a:off x="504841" y="3499161"/>
              <a:ext cx="1320997" cy="7447381"/>
              <a:chOff x="871586" y="865277"/>
              <a:chExt cx="1316796" cy="5402018"/>
            </a:xfrm>
          </xdr:grpSpPr>
          <xdr:grpSp>
            <xdr:nvGrpSpPr>
              <xdr:cNvPr id="28" name="Groep 27">
                <a:extLst>
                  <a:ext uri="{FF2B5EF4-FFF2-40B4-BE49-F238E27FC236}">
                    <a16:creationId xmlns:a16="http://schemas.microsoft.com/office/drawing/2014/main" id="{1B976905-7879-4F06-B771-31CD3C9CA29F}"/>
                  </a:ext>
                </a:extLst>
              </xdr:cNvPr>
              <xdr:cNvGrpSpPr/>
            </xdr:nvGrpSpPr>
            <xdr:grpSpPr>
              <a:xfrm>
                <a:off x="871586" y="865277"/>
                <a:ext cx="1316796" cy="5402018"/>
                <a:chOff x="917822" y="870930"/>
                <a:chExt cx="1303960" cy="5212473"/>
              </a:xfrm>
            </xdr:grpSpPr>
            <xdr:grpSp>
              <xdr:nvGrpSpPr>
                <xdr:cNvPr id="8" name="Groep 7">
                  <a:extLst>
                    <a:ext uri="{FF2B5EF4-FFF2-40B4-BE49-F238E27FC236}">
                      <a16:creationId xmlns:a16="http://schemas.microsoft.com/office/drawing/2014/main" id="{5923517F-DD0D-4021-BB19-7532A8931C2F}"/>
                    </a:ext>
                  </a:extLst>
                </xdr:cNvPr>
                <xdr:cNvGrpSpPr/>
              </xdr:nvGrpSpPr>
              <xdr:grpSpPr>
                <a:xfrm>
                  <a:off x="917822" y="870930"/>
                  <a:ext cx="1303960" cy="5212473"/>
                  <a:chOff x="192986" y="817316"/>
                  <a:chExt cx="1249681" cy="5443986"/>
                </a:xfrm>
              </xdr:grpSpPr>
              <xdr:sp macro="" textlink="">
                <xdr:nvSpPr>
                  <xdr:cNvPr id="10" name="Rechthoek: afgeronde hoeken 9">
                    <a:extLst>
                      <a:ext uri="{FF2B5EF4-FFF2-40B4-BE49-F238E27FC236}">
                        <a16:creationId xmlns:a16="http://schemas.microsoft.com/office/drawing/2014/main" id="{1EEE6405-8C8E-4CC3-81B7-1C9650CEFDD5}"/>
                      </a:ext>
                    </a:extLst>
                  </xdr:cNvPr>
                  <xdr:cNvSpPr/>
                </xdr:nvSpPr>
                <xdr:spPr>
                  <a:xfrm>
                    <a:off x="246093" y="817316"/>
                    <a:ext cx="1196574" cy="576543"/>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12" name="Rechthoek 11">
                    <a:extLst>
                      <a:ext uri="{FF2B5EF4-FFF2-40B4-BE49-F238E27FC236}">
                        <a16:creationId xmlns:a16="http://schemas.microsoft.com/office/drawing/2014/main" id="{47FB197C-5C7A-4BE7-954C-E4020D5D9C07}"/>
                      </a:ext>
                    </a:extLst>
                  </xdr:cNvPr>
                  <xdr:cNvSpPr/>
                </xdr:nvSpPr>
                <xdr:spPr>
                  <a:xfrm>
                    <a:off x="246983" y="2760119"/>
                    <a:ext cx="1177271" cy="552631"/>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Veldonderzoek  </a:t>
                    </a:r>
                  </a:p>
                </xdr:txBody>
              </xdr:sp>
              <xdr:sp macro="" textlink="">
                <xdr:nvSpPr>
                  <xdr:cNvPr id="14" name="Rechthoek 13">
                    <a:extLst>
                      <a:ext uri="{FF2B5EF4-FFF2-40B4-BE49-F238E27FC236}">
                        <a16:creationId xmlns:a16="http://schemas.microsoft.com/office/drawing/2014/main" id="{FA519011-A505-45D0-B19A-D8DCE92B34FF}"/>
                      </a:ext>
                    </a:extLst>
                  </xdr:cNvPr>
                  <xdr:cNvSpPr/>
                </xdr:nvSpPr>
                <xdr:spPr>
                  <a:xfrm>
                    <a:off x="224198" y="4925685"/>
                    <a:ext cx="1171559" cy="55263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5. Verwerken en opleveren gegevens</a:t>
                    </a:r>
                  </a:p>
                </xdr:txBody>
              </xdr:sp>
              <xdr:sp macro="" textlink="">
                <xdr:nvSpPr>
                  <xdr:cNvPr id="15" name="Rechthoek: afgeronde hoeken 14">
                    <a:extLst>
                      <a:ext uri="{FF2B5EF4-FFF2-40B4-BE49-F238E27FC236}">
                        <a16:creationId xmlns:a16="http://schemas.microsoft.com/office/drawing/2014/main" id="{33C4A571-8BA4-4314-9843-C2B47E89A8E0}"/>
                      </a:ext>
                    </a:extLst>
                  </xdr:cNvPr>
                  <xdr:cNvSpPr/>
                </xdr:nvSpPr>
                <xdr:spPr>
                  <a:xfrm>
                    <a:off x="192986" y="5671042"/>
                    <a:ext cx="1234701" cy="59026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6. Begeleiding tbo's</a:t>
                    </a:r>
                  </a:p>
                </xdr:txBody>
              </xdr:sp>
              <xdr:cxnSp macro="">
                <xdr:nvCxnSpPr>
                  <xdr:cNvPr id="17" name="Rechte verbindingslijn met pijl 16">
                    <a:extLst>
                      <a:ext uri="{FF2B5EF4-FFF2-40B4-BE49-F238E27FC236}">
                        <a16:creationId xmlns:a16="http://schemas.microsoft.com/office/drawing/2014/main" id="{AA51EE69-75D6-4F96-ABC4-7E5C110D05DF}"/>
                      </a:ext>
                    </a:extLst>
                  </xdr:cNvPr>
                  <xdr:cNvCxnSpPr>
                    <a:cxnSpLocks/>
                    <a:stCxn id="10" idx="2"/>
                    <a:endCxn id="27" idx="0"/>
                  </xdr:cNvCxnSpPr>
                </xdr:nvCxnSpPr>
                <xdr:spPr>
                  <a:xfrm flipH="1">
                    <a:off x="833773" y="1390001"/>
                    <a:ext cx="10622" cy="5291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Rechte verbindingslijn met pijl 17">
                    <a:extLst>
                      <a:ext uri="{FF2B5EF4-FFF2-40B4-BE49-F238E27FC236}">
                        <a16:creationId xmlns:a16="http://schemas.microsoft.com/office/drawing/2014/main" id="{4A1F656E-84A6-43C7-84EB-8472A83C3CF7}"/>
                      </a:ext>
                    </a:extLst>
                  </xdr:cNvPr>
                  <xdr:cNvCxnSpPr>
                    <a:cxnSpLocks/>
                    <a:stCxn id="46" idx="2"/>
                    <a:endCxn id="24" idx="0"/>
                  </xdr:cNvCxnSpPr>
                </xdr:nvCxnSpPr>
                <xdr:spPr>
                  <a:xfrm flipH="1">
                    <a:off x="816214" y="4031208"/>
                    <a:ext cx="7546" cy="1759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Rechte verbindingslijn met pijl 18">
                    <a:extLst>
                      <a:ext uri="{FF2B5EF4-FFF2-40B4-BE49-F238E27FC236}">
                        <a16:creationId xmlns:a16="http://schemas.microsoft.com/office/drawing/2014/main" id="{15EBBB35-6BDE-4D12-B368-6E8F4006930D}"/>
                      </a:ext>
                    </a:extLst>
                  </xdr:cNvPr>
                  <xdr:cNvCxnSpPr>
                    <a:stCxn id="14" idx="2"/>
                    <a:endCxn id="15" idx="0"/>
                  </xdr:cNvCxnSpPr>
                </xdr:nvCxnSpPr>
                <xdr:spPr>
                  <a:xfrm>
                    <a:off x="809977" y="5478316"/>
                    <a:ext cx="360" cy="1927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Rechthoek 26">
                    <a:extLst>
                      <a:ext uri="{FF2B5EF4-FFF2-40B4-BE49-F238E27FC236}">
                        <a16:creationId xmlns:a16="http://schemas.microsoft.com/office/drawing/2014/main" id="{6DB9598D-4DC2-7DC0-C230-BE9F7EBD361C}"/>
                      </a:ext>
                    </a:extLst>
                  </xdr:cNvPr>
                  <xdr:cNvSpPr/>
                </xdr:nvSpPr>
                <xdr:spPr>
                  <a:xfrm>
                    <a:off x="246585" y="1919112"/>
                    <a:ext cx="1174376" cy="55263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grpSp>
            <xdr:cxnSp macro="">
              <xdr:nvCxnSpPr>
                <xdr:cNvPr id="25" name="Rechte verbindingslijn met pijl 24">
                  <a:extLst>
                    <a:ext uri="{FF2B5EF4-FFF2-40B4-BE49-F238E27FC236}">
                      <a16:creationId xmlns:a16="http://schemas.microsoft.com/office/drawing/2014/main" id="{CF03ECF3-86C3-4063-853D-AC169CF78655}"/>
                    </a:ext>
                  </a:extLst>
                </xdr:cNvPr>
                <xdr:cNvCxnSpPr>
                  <a:cxnSpLocks/>
                  <a:stCxn id="27" idx="2"/>
                  <a:endCxn id="12" idx="0"/>
                </xdr:cNvCxnSpPr>
              </xdr:nvCxnSpPr>
              <xdr:spPr>
                <a:xfrm>
                  <a:off x="1586441" y="2455001"/>
                  <a:ext cx="1926" cy="2761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6" name="Rechthoek 45">
                <a:extLst>
                  <a:ext uri="{FF2B5EF4-FFF2-40B4-BE49-F238E27FC236}">
                    <a16:creationId xmlns:a16="http://schemas.microsoft.com/office/drawing/2014/main" id="{CAA6F9C3-9A2D-42D7-AA08-1B1377D26BC1}"/>
                  </a:ext>
                </a:extLst>
              </xdr:cNvPr>
              <xdr:cNvSpPr/>
            </xdr:nvSpPr>
            <xdr:spPr>
              <a:xfrm>
                <a:off x="915988" y="3506022"/>
                <a:ext cx="1240497" cy="548371"/>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 Extra</a:t>
                </a:r>
                <a:r>
                  <a:rPr lang="nl-NL" sz="800" baseline="0">
                    <a:solidFill>
                      <a:sysClr val="windowText" lastClr="000000"/>
                    </a:solidFill>
                  </a:rPr>
                  <a:t> v</a:t>
                </a:r>
                <a:r>
                  <a:rPr lang="nl-NL" sz="800">
                    <a:solidFill>
                      <a:sysClr val="windowText" lastClr="000000"/>
                    </a:solidFill>
                  </a:rPr>
                  <a:t>eldonderzoek  </a:t>
                </a:r>
              </a:p>
            </xdr:txBody>
          </xdr:sp>
          <xdr:cxnSp macro="">
            <xdr:nvCxnSpPr>
              <xdr:cNvPr id="52" name="Rechte verbindingslijn met pijl 51">
                <a:extLst>
                  <a:ext uri="{FF2B5EF4-FFF2-40B4-BE49-F238E27FC236}">
                    <a16:creationId xmlns:a16="http://schemas.microsoft.com/office/drawing/2014/main" id="{E79C0E05-587B-4040-947C-E6AFE13ADA2C}"/>
                  </a:ext>
                </a:extLst>
              </xdr:cNvPr>
              <xdr:cNvCxnSpPr>
                <a:stCxn id="12" idx="2"/>
                <a:endCxn id="46" idx="0"/>
              </xdr:cNvCxnSpPr>
            </xdr:nvCxnSpPr>
            <xdr:spPr>
              <a:xfrm flipH="1">
                <a:off x="1536236" y="3341474"/>
                <a:ext cx="12495" cy="1645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4" name="Rechthoek 23">
              <a:extLst>
                <a:ext uri="{FF2B5EF4-FFF2-40B4-BE49-F238E27FC236}">
                  <a16:creationId xmlns:a16="http://schemas.microsoft.com/office/drawing/2014/main" id="{D5C8F4E6-1C5D-4090-A946-BD34738D8CEA}"/>
                </a:ext>
              </a:extLst>
            </xdr:cNvPr>
            <xdr:cNvSpPr/>
          </xdr:nvSpPr>
          <xdr:spPr>
            <a:xfrm>
              <a:off x="542847" y="8136449"/>
              <a:ext cx="1241575" cy="762350"/>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Structuurelementen</a:t>
              </a:r>
            </a:p>
          </xdr:txBody>
        </xdr:sp>
      </xdr:grpSp>
      <xdr:cxnSp macro="">
        <xdr:nvCxnSpPr>
          <xdr:cNvPr id="32" name="Rechte verbindingslijn met pijl 31">
            <a:extLst>
              <a:ext uri="{FF2B5EF4-FFF2-40B4-BE49-F238E27FC236}">
                <a16:creationId xmlns:a16="http://schemas.microsoft.com/office/drawing/2014/main" id="{D5167399-5F63-44D2-9D5A-39927404BC33}"/>
              </a:ext>
            </a:extLst>
          </xdr:cNvPr>
          <xdr:cNvCxnSpPr>
            <a:cxnSpLocks/>
            <a:stCxn id="24" idx="2"/>
            <a:endCxn id="14" idx="0"/>
          </xdr:cNvCxnSpPr>
        </xdr:nvCxnSpPr>
        <xdr:spPr>
          <a:xfrm flipH="1">
            <a:off x="1157137" y="8901974"/>
            <a:ext cx="6561" cy="2206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21033</xdr:colOff>
      <xdr:row>4</xdr:row>
      <xdr:rowOff>18256</xdr:rowOff>
    </xdr:from>
    <xdr:to>
      <xdr:col>16</xdr:col>
      <xdr:colOff>9525</xdr:colOff>
      <xdr:row>16</xdr:row>
      <xdr:rowOff>111125</xdr:rowOff>
    </xdr:to>
    <xdr:graphicFrame macro="">
      <xdr:nvGraphicFramePr>
        <xdr:cNvPr id="3" name="Grafiek 2">
          <a:extLst>
            <a:ext uri="{FF2B5EF4-FFF2-40B4-BE49-F238E27FC236}">
              <a16:creationId xmlns:a16="http://schemas.microsoft.com/office/drawing/2014/main" id="{2B4B9244-40BC-C22D-EB4A-16406CCA7B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65</xdr:row>
      <xdr:rowOff>68262</xdr:rowOff>
    </xdr:from>
    <xdr:to>
      <xdr:col>3</xdr:col>
      <xdr:colOff>0</xdr:colOff>
      <xdr:row>68</xdr:row>
      <xdr:rowOff>84137</xdr:rowOff>
    </xdr:to>
    <xdr:grpSp>
      <xdr:nvGrpSpPr>
        <xdr:cNvPr id="2" name="Groep 1">
          <a:extLst>
            <a:ext uri="{FF2B5EF4-FFF2-40B4-BE49-F238E27FC236}">
              <a16:creationId xmlns:a16="http://schemas.microsoft.com/office/drawing/2014/main" id="{52DF4D88-564E-49D3-B22D-9AE05825806C}"/>
            </a:ext>
          </a:extLst>
        </xdr:cNvPr>
        <xdr:cNvGrpSpPr/>
      </xdr:nvGrpSpPr>
      <xdr:grpSpPr>
        <a:xfrm>
          <a:off x="95250" y="11326812"/>
          <a:ext cx="3362325" cy="530225"/>
          <a:chOff x="0" y="7715250"/>
          <a:chExt cx="3611563" cy="492125"/>
        </a:xfrm>
      </xdr:grpSpPr>
      <xdr:grpSp>
        <xdr:nvGrpSpPr>
          <xdr:cNvPr id="3" name="Groep 2">
            <a:extLst>
              <a:ext uri="{FF2B5EF4-FFF2-40B4-BE49-F238E27FC236}">
                <a16:creationId xmlns:a16="http://schemas.microsoft.com/office/drawing/2014/main" id="{42EE5F81-8760-4536-9891-8397038D303E}"/>
              </a:ext>
            </a:extLst>
          </xdr:cNvPr>
          <xdr:cNvGrpSpPr/>
        </xdr:nvGrpSpPr>
        <xdr:grpSpPr>
          <a:xfrm>
            <a:off x="0" y="7715250"/>
            <a:ext cx="2370138" cy="492125"/>
            <a:chOff x="0" y="7715250"/>
            <a:chExt cx="2370138" cy="492125"/>
          </a:xfrm>
        </xdr:grpSpPr>
        <xdr:sp macro="" textlink="">
          <xdr:nvSpPr>
            <xdr:cNvPr id="5" name="Rechthoek: afgeronde hoeken 4">
              <a:extLst>
                <a:ext uri="{FF2B5EF4-FFF2-40B4-BE49-F238E27FC236}">
                  <a16:creationId xmlns:a16="http://schemas.microsoft.com/office/drawing/2014/main" id="{096CD3FD-57E8-4D02-A5E4-C9357E92B2A1}"/>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Activiteiten niet standaard in de SNL subsidie</a:t>
              </a:r>
            </a:p>
          </xdr:txBody>
        </xdr:sp>
        <xdr:sp macro="" textlink="">
          <xdr:nvSpPr>
            <xdr:cNvPr id="6" name="Rechthoek: afgeronde hoeken 5">
              <a:extLst>
                <a:ext uri="{FF2B5EF4-FFF2-40B4-BE49-F238E27FC236}">
                  <a16:creationId xmlns:a16="http://schemas.microsoft.com/office/drawing/2014/main" id="{2DCADD44-DBCE-4A10-857B-D9193CDB2483}"/>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Veldwerkzaamheden per hectare</a:t>
              </a:r>
            </a:p>
          </xdr:txBody>
        </xdr:sp>
      </xdr:grpSp>
      <xdr:sp macro="" textlink="">
        <xdr:nvSpPr>
          <xdr:cNvPr id="4" name="Rechthoek: afgeronde hoeken 3">
            <a:extLst>
              <a:ext uri="{FF2B5EF4-FFF2-40B4-BE49-F238E27FC236}">
                <a16:creationId xmlns:a16="http://schemas.microsoft.com/office/drawing/2014/main" id="{F13C6EDE-7171-42A4-9E65-933A5D553DA8}"/>
              </a:ext>
            </a:extLst>
          </xdr:cNvPr>
          <xdr:cNvSpPr/>
        </xdr:nvSpPr>
        <xdr:spPr>
          <a:xfrm>
            <a:off x="2457450" y="7721600"/>
            <a:ext cx="1154113" cy="481012"/>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(Bureau)werkzaamheden</a:t>
            </a:r>
            <a:r>
              <a:rPr lang="nl-NL" sz="600" baseline="0">
                <a:solidFill>
                  <a:sysClr val="windowText" lastClr="000000"/>
                </a:solidFill>
              </a:rPr>
              <a:t> per opdracht/gebied</a:t>
            </a:r>
            <a:endParaRPr lang="nl-NL" sz="600">
              <a:solidFill>
                <a:sysClr val="windowText" lastClr="000000"/>
              </a:solidFill>
            </a:endParaRPr>
          </a:p>
        </xdr:txBody>
      </xdr:sp>
    </xdr:grpSp>
    <xdr:clientData/>
  </xdr:twoCellAnchor>
  <xdr:twoCellAnchor>
    <xdr:from>
      <xdr:col>0</xdr:col>
      <xdr:colOff>544511</xdr:colOff>
      <xdr:row>23</xdr:row>
      <xdr:rowOff>28575</xdr:rowOff>
    </xdr:from>
    <xdr:to>
      <xdr:col>2</xdr:col>
      <xdr:colOff>371299</xdr:colOff>
      <xdr:row>61</xdr:row>
      <xdr:rowOff>153475</xdr:rowOff>
    </xdr:to>
    <xdr:grpSp>
      <xdr:nvGrpSpPr>
        <xdr:cNvPr id="7" name="Groep 6">
          <a:extLst>
            <a:ext uri="{FF2B5EF4-FFF2-40B4-BE49-F238E27FC236}">
              <a16:creationId xmlns:a16="http://schemas.microsoft.com/office/drawing/2014/main" id="{48EAA36F-A879-462F-91BF-0E78DB45459E}"/>
            </a:ext>
          </a:extLst>
        </xdr:cNvPr>
        <xdr:cNvGrpSpPr/>
      </xdr:nvGrpSpPr>
      <xdr:grpSpPr>
        <a:xfrm>
          <a:off x="544511" y="4086225"/>
          <a:ext cx="2131838" cy="6640000"/>
          <a:chOff x="908109" y="879409"/>
          <a:chExt cx="1301011" cy="5294513"/>
        </a:xfrm>
      </xdr:grpSpPr>
      <xdr:grpSp>
        <xdr:nvGrpSpPr>
          <xdr:cNvPr id="8" name="Groep 7">
            <a:extLst>
              <a:ext uri="{FF2B5EF4-FFF2-40B4-BE49-F238E27FC236}">
                <a16:creationId xmlns:a16="http://schemas.microsoft.com/office/drawing/2014/main" id="{EC3FFBB5-E755-4D1E-905F-A8106E7A719E}"/>
              </a:ext>
            </a:extLst>
          </xdr:cNvPr>
          <xdr:cNvGrpSpPr/>
        </xdr:nvGrpSpPr>
        <xdr:grpSpPr>
          <a:xfrm>
            <a:off x="908109" y="879409"/>
            <a:ext cx="1301011" cy="5294513"/>
            <a:chOff x="953988" y="884564"/>
            <a:chExt cx="1288330" cy="5108740"/>
          </a:xfrm>
        </xdr:grpSpPr>
        <xdr:grpSp>
          <xdr:nvGrpSpPr>
            <xdr:cNvPr id="11" name="Groep 10">
              <a:extLst>
                <a:ext uri="{FF2B5EF4-FFF2-40B4-BE49-F238E27FC236}">
                  <a16:creationId xmlns:a16="http://schemas.microsoft.com/office/drawing/2014/main" id="{11F14328-7068-48DD-A7F1-9ED2E0771780}"/>
                </a:ext>
              </a:extLst>
            </xdr:cNvPr>
            <xdr:cNvGrpSpPr/>
          </xdr:nvGrpSpPr>
          <xdr:grpSpPr>
            <a:xfrm>
              <a:off x="953988" y="884564"/>
              <a:ext cx="1288330" cy="5108740"/>
              <a:chOff x="227646" y="831555"/>
              <a:chExt cx="1234701" cy="5335645"/>
            </a:xfrm>
          </xdr:grpSpPr>
          <xdr:sp macro="" textlink="">
            <xdr:nvSpPr>
              <xdr:cNvPr id="13" name="Rechthoek: afgeronde hoeken 12">
                <a:extLst>
                  <a:ext uri="{FF2B5EF4-FFF2-40B4-BE49-F238E27FC236}">
                    <a16:creationId xmlns:a16="http://schemas.microsoft.com/office/drawing/2014/main" id="{47EBA4A9-1BEF-4D4A-AA98-FF00B66C90C0}"/>
                  </a:ext>
                </a:extLst>
              </xdr:cNvPr>
              <xdr:cNvSpPr/>
            </xdr:nvSpPr>
            <xdr:spPr>
              <a:xfrm>
                <a:off x="239869" y="831555"/>
                <a:ext cx="1192794" cy="57674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14" name="Rechthoek 13">
                <a:extLst>
                  <a:ext uri="{FF2B5EF4-FFF2-40B4-BE49-F238E27FC236}">
                    <a16:creationId xmlns:a16="http://schemas.microsoft.com/office/drawing/2014/main" id="{FB0A3C1F-473D-4254-8105-81E12DF36934}"/>
                  </a:ext>
                </a:extLst>
              </xdr:cNvPr>
              <xdr:cNvSpPr/>
            </xdr:nvSpPr>
            <xdr:spPr>
              <a:xfrm>
                <a:off x="249538" y="2317373"/>
                <a:ext cx="1170621" cy="58046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sp macro="" textlink="">
            <xdr:nvSpPr>
              <xdr:cNvPr id="15" name="Rechthoek 14">
                <a:extLst>
                  <a:ext uri="{FF2B5EF4-FFF2-40B4-BE49-F238E27FC236}">
                    <a16:creationId xmlns:a16="http://schemas.microsoft.com/office/drawing/2014/main" id="{0B181AE1-6EEE-4C95-80DF-F5A7B5DE5D54}"/>
                  </a:ext>
                </a:extLst>
              </xdr:cNvPr>
              <xdr:cNvSpPr/>
            </xdr:nvSpPr>
            <xdr:spPr>
              <a:xfrm>
                <a:off x="227838" y="3112176"/>
                <a:ext cx="1215651" cy="58652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Veldbezoek  </a:t>
                </a:r>
              </a:p>
            </xdr:txBody>
          </xdr:sp>
          <xdr:sp macro="" textlink="">
            <xdr:nvSpPr>
              <xdr:cNvPr id="16" name="Rechthoek 15">
                <a:extLst>
                  <a:ext uri="{FF2B5EF4-FFF2-40B4-BE49-F238E27FC236}">
                    <a16:creationId xmlns:a16="http://schemas.microsoft.com/office/drawing/2014/main" id="{B8968AC2-F3C2-4BFD-BD3E-B77981A0BE7D}"/>
                  </a:ext>
                </a:extLst>
              </xdr:cNvPr>
              <xdr:cNvSpPr/>
            </xdr:nvSpPr>
            <xdr:spPr>
              <a:xfrm>
                <a:off x="231497" y="4755848"/>
                <a:ext cx="1218826" cy="5807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Verwerken en opleveren gegevens</a:t>
                </a:r>
              </a:p>
            </xdr:txBody>
          </xdr:sp>
          <xdr:sp macro="" textlink="">
            <xdr:nvSpPr>
              <xdr:cNvPr id="17" name="Rechthoek: afgeronde hoeken 16">
                <a:extLst>
                  <a:ext uri="{FF2B5EF4-FFF2-40B4-BE49-F238E27FC236}">
                    <a16:creationId xmlns:a16="http://schemas.microsoft.com/office/drawing/2014/main" id="{1D3620A3-5367-4B97-9CB3-663BF2DD6546}"/>
                  </a:ext>
                </a:extLst>
              </xdr:cNvPr>
              <xdr:cNvSpPr/>
            </xdr:nvSpPr>
            <xdr:spPr>
              <a:xfrm>
                <a:off x="227646" y="5576940"/>
                <a:ext cx="1234701" cy="59026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5. Begeleiding tbo's</a:t>
                </a:r>
              </a:p>
            </xdr:txBody>
          </xdr:sp>
          <xdr:cxnSp macro="">
            <xdr:nvCxnSpPr>
              <xdr:cNvPr id="18" name="Rechte verbindingslijn met pijl 17">
                <a:extLst>
                  <a:ext uri="{FF2B5EF4-FFF2-40B4-BE49-F238E27FC236}">
                    <a16:creationId xmlns:a16="http://schemas.microsoft.com/office/drawing/2014/main" id="{C11EE86D-E2BF-4A61-8B6A-2BE7E043D628}"/>
                  </a:ext>
                </a:extLst>
              </xdr:cNvPr>
              <xdr:cNvCxnSpPr>
                <a:stCxn id="13" idx="2"/>
                <a:endCxn id="14" idx="0"/>
              </xdr:cNvCxnSpPr>
            </xdr:nvCxnSpPr>
            <xdr:spPr>
              <a:xfrm flipH="1">
                <a:off x="834816" y="1406151"/>
                <a:ext cx="1422" cy="9094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Rechte verbindingslijn met pijl 18">
                <a:extLst>
                  <a:ext uri="{FF2B5EF4-FFF2-40B4-BE49-F238E27FC236}">
                    <a16:creationId xmlns:a16="http://schemas.microsoft.com/office/drawing/2014/main" id="{150DF922-5C90-4237-B2AA-5F2A00CDA2BD}"/>
                  </a:ext>
                </a:extLst>
              </xdr:cNvPr>
              <xdr:cNvCxnSpPr>
                <a:cxnSpLocks/>
                <a:stCxn id="9" idx="2"/>
                <a:endCxn id="16" idx="0"/>
              </xdr:cNvCxnSpPr>
            </xdr:nvCxnSpPr>
            <xdr:spPr>
              <a:xfrm>
                <a:off x="838089" y="4538066"/>
                <a:ext cx="2821" cy="2177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Rechte verbindingslijn met pijl 19">
                <a:extLst>
                  <a:ext uri="{FF2B5EF4-FFF2-40B4-BE49-F238E27FC236}">
                    <a16:creationId xmlns:a16="http://schemas.microsoft.com/office/drawing/2014/main" id="{1A0F753D-D499-4F3C-9ED3-68BB3E423E89}"/>
                  </a:ext>
                </a:extLst>
              </xdr:cNvPr>
              <xdr:cNvCxnSpPr>
                <a:stCxn id="16" idx="2"/>
                <a:endCxn id="17" idx="0"/>
              </xdr:cNvCxnSpPr>
            </xdr:nvCxnSpPr>
            <xdr:spPr>
              <a:xfrm>
                <a:off x="840910" y="5336584"/>
                <a:ext cx="4087" cy="2403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2" name="Rechte verbindingslijn met pijl 11">
              <a:extLst>
                <a:ext uri="{FF2B5EF4-FFF2-40B4-BE49-F238E27FC236}">
                  <a16:creationId xmlns:a16="http://schemas.microsoft.com/office/drawing/2014/main" id="{2B5AF5EF-B8A2-42AB-AE2F-F17C87EC2242}"/>
                </a:ext>
              </a:extLst>
            </xdr:cNvPr>
            <xdr:cNvCxnSpPr>
              <a:stCxn id="14" idx="2"/>
              <a:endCxn id="15" idx="0"/>
            </xdr:cNvCxnSpPr>
          </xdr:nvCxnSpPr>
          <xdr:spPr>
            <a:xfrm>
              <a:off x="1587564" y="2862977"/>
              <a:ext cx="850" cy="205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 name="Rechthoek 8">
            <a:extLst>
              <a:ext uri="{FF2B5EF4-FFF2-40B4-BE49-F238E27FC236}">
                <a16:creationId xmlns:a16="http://schemas.microsoft.com/office/drawing/2014/main" id="{840139F5-92E5-49A0-A19D-FB7EEF0BCC75}"/>
              </a:ext>
            </a:extLst>
          </xdr:cNvPr>
          <xdr:cNvSpPr/>
        </xdr:nvSpPr>
        <xdr:spPr>
          <a:xfrm>
            <a:off x="917151" y="3988749"/>
            <a:ext cx="1268370" cy="568598"/>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 Specifieke ronde  </a:t>
            </a:r>
          </a:p>
        </xdr:txBody>
      </xdr:sp>
      <xdr:cxnSp macro="">
        <xdr:nvCxnSpPr>
          <xdr:cNvPr id="10" name="Rechte verbindingslijn met pijl 9">
            <a:extLst>
              <a:ext uri="{FF2B5EF4-FFF2-40B4-BE49-F238E27FC236}">
                <a16:creationId xmlns:a16="http://schemas.microsoft.com/office/drawing/2014/main" id="{1E571481-EC40-4367-9C26-E6FBD6866102}"/>
              </a:ext>
            </a:extLst>
          </xdr:cNvPr>
          <xdr:cNvCxnSpPr>
            <a:stCxn id="15" idx="2"/>
            <a:endCxn id="9" idx="0"/>
          </xdr:cNvCxnSpPr>
        </xdr:nvCxnSpPr>
        <xdr:spPr>
          <a:xfrm>
            <a:off x="1548780" y="3724452"/>
            <a:ext cx="2556" cy="2642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23585</xdr:colOff>
      <xdr:row>4</xdr:row>
      <xdr:rowOff>40822</xdr:rowOff>
    </xdr:from>
    <xdr:to>
      <xdr:col>14</xdr:col>
      <xdr:colOff>758825</xdr:colOff>
      <xdr:row>16</xdr:row>
      <xdr:rowOff>47625</xdr:rowOff>
    </xdr:to>
    <xdr:graphicFrame macro="">
      <xdr:nvGraphicFramePr>
        <xdr:cNvPr id="26" name="Grafiek 25">
          <a:extLst>
            <a:ext uri="{FF2B5EF4-FFF2-40B4-BE49-F238E27FC236}">
              <a16:creationId xmlns:a16="http://schemas.microsoft.com/office/drawing/2014/main" id="{98C59696-EAAB-4FEF-E7F2-78A071CECE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63</xdr:row>
      <xdr:rowOff>68262</xdr:rowOff>
    </xdr:from>
    <xdr:to>
      <xdr:col>3</xdr:col>
      <xdr:colOff>0</xdr:colOff>
      <xdr:row>66</xdr:row>
      <xdr:rowOff>84137</xdr:rowOff>
    </xdr:to>
    <xdr:grpSp>
      <xdr:nvGrpSpPr>
        <xdr:cNvPr id="16" name="Groep 15">
          <a:extLst>
            <a:ext uri="{FF2B5EF4-FFF2-40B4-BE49-F238E27FC236}">
              <a16:creationId xmlns:a16="http://schemas.microsoft.com/office/drawing/2014/main" id="{199C3F56-0579-42AE-8D13-BDA7396B7ECD}"/>
            </a:ext>
          </a:extLst>
        </xdr:cNvPr>
        <xdr:cNvGrpSpPr/>
      </xdr:nvGrpSpPr>
      <xdr:grpSpPr>
        <a:xfrm>
          <a:off x="95250" y="10936287"/>
          <a:ext cx="3362325" cy="520700"/>
          <a:chOff x="0" y="7715250"/>
          <a:chExt cx="3611563" cy="492125"/>
        </a:xfrm>
      </xdr:grpSpPr>
      <xdr:grpSp>
        <xdr:nvGrpSpPr>
          <xdr:cNvPr id="17" name="Groep 16">
            <a:extLst>
              <a:ext uri="{FF2B5EF4-FFF2-40B4-BE49-F238E27FC236}">
                <a16:creationId xmlns:a16="http://schemas.microsoft.com/office/drawing/2014/main" id="{4EAE10F1-896E-4F7C-8630-6EBD20DD2CAA}"/>
              </a:ext>
            </a:extLst>
          </xdr:cNvPr>
          <xdr:cNvGrpSpPr/>
        </xdr:nvGrpSpPr>
        <xdr:grpSpPr>
          <a:xfrm>
            <a:off x="0" y="7715250"/>
            <a:ext cx="2370138" cy="492125"/>
            <a:chOff x="0" y="7715250"/>
            <a:chExt cx="2370138" cy="492125"/>
          </a:xfrm>
        </xdr:grpSpPr>
        <xdr:sp macro="" textlink="">
          <xdr:nvSpPr>
            <xdr:cNvPr id="19" name="Rechthoek: afgeronde hoeken 18">
              <a:extLst>
                <a:ext uri="{FF2B5EF4-FFF2-40B4-BE49-F238E27FC236}">
                  <a16:creationId xmlns:a16="http://schemas.microsoft.com/office/drawing/2014/main" id="{D3DD473E-7819-4E95-B49F-0D0D6C1E6769}"/>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Activiteiten niet standaard in de SNL subsidie</a:t>
              </a:r>
            </a:p>
          </xdr:txBody>
        </xdr:sp>
        <xdr:sp macro="" textlink="">
          <xdr:nvSpPr>
            <xdr:cNvPr id="20" name="Rechthoek: afgeronde hoeken 19">
              <a:extLst>
                <a:ext uri="{FF2B5EF4-FFF2-40B4-BE49-F238E27FC236}">
                  <a16:creationId xmlns:a16="http://schemas.microsoft.com/office/drawing/2014/main" id="{0AD8E0BF-4C6B-4AAD-B4A1-44AABFB9E410}"/>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Veldwerkzaamheden per hectare</a:t>
              </a:r>
            </a:p>
          </xdr:txBody>
        </xdr:sp>
      </xdr:grpSp>
      <xdr:sp macro="" textlink="">
        <xdr:nvSpPr>
          <xdr:cNvPr id="18" name="Rechthoek: afgeronde hoeken 17">
            <a:extLst>
              <a:ext uri="{FF2B5EF4-FFF2-40B4-BE49-F238E27FC236}">
                <a16:creationId xmlns:a16="http://schemas.microsoft.com/office/drawing/2014/main" id="{F9CC342A-9259-4896-8542-0954646E8766}"/>
              </a:ext>
            </a:extLst>
          </xdr:cNvPr>
          <xdr:cNvSpPr/>
        </xdr:nvSpPr>
        <xdr:spPr>
          <a:xfrm>
            <a:off x="2457450" y="7721600"/>
            <a:ext cx="1154113" cy="481012"/>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(Bureau)werkzaamheden</a:t>
            </a:r>
            <a:r>
              <a:rPr lang="nl-NL" sz="600" baseline="0">
                <a:solidFill>
                  <a:sysClr val="windowText" lastClr="000000"/>
                </a:solidFill>
              </a:rPr>
              <a:t> per opdracht/gebied</a:t>
            </a:r>
            <a:endParaRPr lang="nl-NL" sz="600">
              <a:solidFill>
                <a:sysClr val="windowText" lastClr="000000"/>
              </a:solidFill>
            </a:endParaRPr>
          </a:p>
        </xdr:txBody>
      </xdr:sp>
    </xdr:grpSp>
    <xdr:clientData/>
  </xdr:twoCellAnchor>
  <xdr:twoCellAnchor>
    <xdr:from>
      <xdr:col>0</xdr:col>
      <xdr:colOff>715831</xdr:colOff>
      <xdr:row>21</xdr:row>
      <xdr:rowOff>25400</xdr:rowOff>
    </xdr:from>
    <xdr:to>
      <xdr:col>2</xdr:col>
      <xdr:colOff>374705</xdr:colOff>
      <xdr:row>60</xdr:row>
      <xdr:rowOff>20122</xdr:rowOff>
    </xdr:to>
    <xdr:grpSp>
      <xdr:nvGrpSpPr>
        <xdr:cNvPr id="38" name="Groep 37">
          <a:extLst>
            <a:ext uri="{FF2B5EF4-FFF2-40B4-BE49-F238E27FC236}">
              <a16:creationId xmlns:a16="http://schemas.microsoft.com/office/drawing/2014/main" id="{F2378950-E127-4333-BC11-C25E8017D255}"/>
            </a:ext>
          </a:extLst>
        </xdr:cNvPr>
        <xdr:cNvGrpSpPr/>
      </xdr:nvGrpSpPr>
      <xdr:grpSpPr>
        <a:xfrm>
          <a:off x="715831" y="3721100"/>
          <a:ext cx="1963924" cy="6652697"/>
          <a:chOff x="892491" y="797553"/>
          <a:chExt cx="1301012" cy="5412952"/>
        </a:xfrm>
      </xdr:grpSpPr>
      <xdr:grpSp>
        <xdr:nvGrpSpPr>
          <xdr:cNvPr id="39" name="Groep 38">
            <a:extLst>
              <a:ext uri="{FF2B5EF4-FFF2-40B4-BE49-F238E27FC236}">
                <a16:creationId xmlns:a16="http://schemas.microsoft.com/office/drawing/2014/main" id="{459E937F-9255-4D15-88B6-F784FB92CC6B}"/>
              </a:ext>
            </a:extLst>
          </xdr:cNvPr>
          <xdr:cNvGrpSpPr/>
        </xdr:nvGrpSpPr>
        <xdr:grpSpPr>
          <a:xfrm>
            <a:off x="892491" y="797553"/>
            <a:ext cx="1301012" cy="5412952"/>
            <a:chOff x="938522" y="805581"/>
            <a:chExt cx="1288330" cy="5223024"/>
          </a:xfrm>
        </xdr:grpSpPr>
        <xdr:grpSp>
          <xdr:nvGrpSpPr>
            <xdr:cNvPr id="42" name="Groep 41">
              <a:extLst>
                <a:ext uri="{FF2B5EF4-FFF2-40B4-BE49-F238E27FC236}">
                  <a16:creationId xmlns:a16="http://schemas.microsoft.com/office/drawing/2014/main" id="{D4248D8C-7DE7-4AAB-8F71-C22FFF161826}"/>
                </a:ext>
              </a:extLst>
            </xdr:cNvPr>
            <xdr:cNvGrpSpPr/>
          </xdr:nvGrpSpPr>
          <xdr:grpSpPr>
            <a:xfrm>
              <a:off x="938522" y="805581"/>
              <a:ext cx="1288330" cy="5223024"/>
              <a:chOff x="212824" y="749064"/>
              <a:chExt cx="1234701" cy="5455006"/>
            </a:xfrm>
          </xdr:grpSpPr>
          <xdr:sp macro="" textlink="">
            <xdr:nvSpPr>
              <xdr:cNvPr id="44" name="Rechthoek: afgeronde hoeken 43">
                <a:extLst>
                  <a:ext uri="{FF2B5EF4-FFF2-40B4-BE49-F238E27FC236}">
                    <a16:creationId xmlns:a16="http://schemas.microsoft.com/office/drawing/2014/main" id="{FD05BF2D-A8F6-49CA-A314-8E23C06EC44A}"/>
                  </a:ext>
                </a:extLst>
              </xdr:cNvPr>
              <xdr:cNvSpPr/>
            </xdr:nvSpPr>
            <xdr:spPr>
              <a:xfrm>
                <a:off x="237937" y="749064"/>
                <a:ext cx="1196601" cy="57700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45" name="Rechthoek 44">
                <a:extLst>
                  <a:ext uri="{FF2B5EF4-FFF2-40B4-BE49-F238E27FC236}">
                    <a16:creationId xmlns:a16="http://schemas.microsoft.com/office/drawing/2014/main" id="{14E4B62A-86E1-41BD-A0F6-D1F43980D3E3}"/>
                  </a:ext>
                </a:extLst>
              </xdr:cNvPr>
              <xdr:cNvSpPr/>
            </xdr:nvSpPr>
            <xdr:spPr>
              <a:xfrm>
                <a:off x="247649" y="2248754"/>
                <a:ext cx="1174376" cy="58073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sp macro="" textlink="">
            <xdr:nvSpPr>
              <xdr:cNvPr id="46" name="Rechthoek 45">
                <a:extLst>
                  <a:ext uri="{FF2B5EF4-FFF2-40B4-BE49-F238E27FC236}">
                    <a16:creationId xmlns:a16="http://schemas.microsoft.com/office/drawing/2014/main" id="{CAFB649D-BE54-4DFF-A3FC-325A374A2934}"/>
                  </a:ext>
                </a:extLst>
              </xdr:cNvPr>
              <xdr:cNvSpPr/>
            </xdr:nvSpPr>
            <xdr:spPr>
              <a:xfrm>
                <a:off x="227838" y="3052184"/>
                <a:ext cx="1215651" cy="58652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Veldbezoek  </a:t>
                </a:r>
              </a:p>
            </xdr:txBody>
          </xdr:sp>
          <xdr:sp macro="" textlink="">
            <xdr:nvSpPr>
              <xdr:cNvPr id="47" name="Rechthoek 46">
                <a:extLst>
                  <a:ext uri="{FF2B5EF4-FFF2-40B4-BE49-F238E27FC236}">
                    <a16:creationId xmlns:a16="http://schemas.microsoft.com/office/drawing/2014/main" id="{AEA266D0-9A59-416A-944D-D5E32CF67C52}"/>
                  </a:ext>
                </a:extLst>
              </xdr:cNvPr>
              <xdr:cNvSpPr/>
            </xdr:nvSpPr>
            <xdr:spPr>
              <a:xfrm>
                <a:off x="222951" y="4794525"/>
                <a:ext cx="1218826" cy="5807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Verwerken en opleveren gegevens</a:t>
                </a:r>
              </a:p>
            </xdr:txBody>
          </xdr:sp>
          <xdr:sp macro="" textlink="">
            <xdr:nvSpPr>
              <xdr:cNvPr id="48" name="Rechthoek: afgeronde hoeken 47">
                <a:extLst>
                  <a:ext uri="{FF2B5EF4-FFF2-40B4-BE49-F238E27FC236}">
                    <a16:creationId xmlns:a16="http://schemas.microsoft.com/office/drawing/2014/main" id="{17617675-F7C9-4230-9216-329D798EB08E}"/>
                  </a:ext>
                </a:extLst>
              </xdr:cNvPr>
              <xdr:cNvSpPr/>
            </xdr:nvSpPr>
            <xdr:spPr>
              <a:xfrm>
                <a:off x="212824" y="5613810"/>
                <a:ext cx="1234701" cy="59026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5. Begeleiding tbo's</a:t>
                </a:r>
              </a:p>
            </xdr:txBody>
          </xdr:sp>
          <xdr:cxnSp macro="">
            <xdr:nvCxnSpPr>
              <xdr:cNvPr id="49" name="Rechte verbindingslijn met pijl 48">
                <a:extLst>
                  <a:ext uri="{FF2B5EF4-FFF2-40B4-BE49-F238E27FC236}">
                    <a16:creationId xmlns:a16="http://schemas.microsoft.com/office/drawing/2014/main" id="{E781B17F-116A-428B-974D-387D35D3E989}"/>
                  </a:ext>
                </a:extLst>
              </xdr:cNvPr>
              <xdr:cNvCxnSpPr>
                <a:stCxn id="44" idx="2"/>
                <a:endCxn id="45" idx="0"/>
              </xdr:cNvCxnSpPr>
            </xdr:nvCxnSpPr>
            <xdr:spPr>
              <a:xfrm flipH="1">
                <a:off x="834837" y="1326064"/>
                <a:ext cx="1401" cy="9226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Rechte verbindingslijn met pijl 49">
                <a:extLst>
                  <a:ext uri="{FF2B5EF4-FFF2-40B4-BE49-F238E27FC236}">
                    <a16:creationId xmlns:a16="http://schemas.microsoft.com/office/drawing/2014/main" id="{2A400A3E-0A9D-49EB-93DB-4219C59D430C}"/>
                  </a:ext>
                </a:extLst>
              </xdr:cNvPr>
              <xdr:cNvCxnSpPr>
                <a:cxnSpLocks/>
                <a:stCxn id="40" idx="2"/>
                <a:endCxn id="47" idx="0"/>
              </xdr:cNvCxnSpPr>
            </xdr:nvCxnSpPr>
            <xdr:spPr>
              <a:xfrm flipH="1">
                <a:off x="832364" y="4508354"/>
                <a:ext cx="4621" cy="2861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Rechte verbindingslijn met pijl 50">
                <a:extLst>
                  <a:ext uri="{FF2B5EF4-FFF2-40B4-BE49-F238E27FC236}">
                    <a16:creationId xmlns:a16="http://schemas.microsoft.com/office/drawing/2014/main" id="{CDDBC493-E275-4A3C-874A-B05D24243FDF}"/>
                  </a:ext>
                </a:extLst>
              </xdr:cNvPr>
              <xdr:cNvCxnSpPr>
                <a:stCxn id="47" idx="2"/>
                <a:endCxn id="48" idx="0"/>
              </xdr:cNvCxnSpPr>
            </xdr:nvCxnSpPr>
            <xdr:spPr>
              <a:xfrm flipH="1">
                <a:off x="830175" y="5375261"/>
                <a:ext cx="2189" cy="2385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3" name="Rechte verbindingslijn met pijl 42">
              <a:extLst>
                <a:ext uri="{FF2B5EF4-FFF2-40B4-BE49-F238E27FC236}">
                  <a16:creationId xmlns:a16="http://schemas.microsoft.com/office/drawing/2014/main" id="{B824896A-94D4-42AC-8114-0AB9F592D140}"/>
                </a:ext>
              </a:extLst>
            </xdr:cNvPr>
            <xdr:cNvCxnSpPr>
              <a:stCxn id="45" idx="2"/>
              <a:endCxn id="46" idx="0"/>
            </xdr:cNvCxnSpPr>
          </xdr:nvCxnSpPr>
          <xdr:spPr>
            <a:xfrm>
              <a:off x="1587552" y="2797533"/>
              <a:ext cx="862" cy="213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0" name="Rechthoek 39">
            <a:extLst>
              <a:ext uri="{FF2B5EF4-FFF2-40B4-BE49-F238E27FC236}">
                <a16:creationId xmlns:a16="http://schemas.microsoft.com/office/drawing/2014/main" id="{D8190556-E5E1-4833-BB04-22A56C2BE869}"/>
              </a:ext>
            </a:extLst>
          </xdr:cNvPr>
          <xdr:cNvSpPr/>
        </xdr:nvSpPr>
        <xdr:spPr>
          <a:xfrm>
            <a:off x="915988" y="3959263"/>
            <a:ext cx="1268370" cy="568598"/>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 Extra</a:t>
            </a:r>
            <a:r>
              <a:rPr lang="nl-NL" sz="800" baseline="0">
                <a:solidFill>
                  <a:sysClr val="windowText" lastClr="000000"/>
                </a:solidFill>
              </a:rPr>
              <a:t> v</a:t>
            </a:r>
            <a:r>
              <a:rPr lang="nl-NL" sz="800">
                <a:solidFill>
                  <a:sysClr val="windowText" lastClr="000000"/>
                </a:solidFill>
              </a:rPr>
              <a:t>eldbezoek  </a:t>
            </a:r>
          </a:p>
        </xdr:txBody>
      </xdr:sp>
      <xdr:cxnSp macro="">
        <xdr:nvCxnSpPr>
          <xdr:cNvPr id="41" name="Rechte verbindingslijn met pijl 40">
            <a:extLst>
              <a:ext uri="{FF2B5EF4-FFF2-40B4-BE49-F238E27FC236}">
                <a16:creationId xmlns:a16="http://schemas.microsoft.com/office/drawing/2014/main" id="{276566B8-76DC-4E8D-89FC-63DBE4FD78AA}"/>
              </a:ext>
            </a:extLst>
          </xdr:cNvPr>
          <xdr:cNvCxnSpPr>
            <a:stCxn id="46" idx="2"/>
            <a:endCxn id="40" idx="0"/>
          </xdr:cNvCxnSpPr>
        </xdr:nvCxnSpPr>
        <xdr:spPr>
          <a:xfrm>
            <a:off x="1548781" y="3664921"/>
            <a:ext cx="1393" cy="2943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56356</xdr:colOff>
      <xdr:row>4</xdr:row>
      <xdr:rowOff>47624</xdr:rowOff>
    </xdr:from>
    <xdr:to>
      <xdr:col>14</xdr:col>
      <xdr:colOff>619125</xdr:colOff>
      <xdr:row>16</xdr:row>
      <xdr:rowOff>95250</xdr:rowOff>
    </xdr:to>
    <xdr:graphicFrame macro="">
      <xdr:nvGraphicFramePr>
        <xdr:cNvPr id="14" name="Grafiek 13">
          <a:extLst>
            <a:ext uri="{FF2B5EF4-FFF2-40B4-BE49-F238E27FC236}">
              <a16:creationId xmlns:a16="http://schemas.microsoft.com/office/drawing/2014/main" id="{340B6DB3-B574-2ED8-8E2D-9457DFFA56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63</xdr:row>
      <xdr:rowOff>65087</xdr:rowOff>
    </xdr:from>
    <xdr:to>
      <xdr:col>3</xdr:col>
      <xdr:colOff>0</xdr:colOff>
      <xdr:row>66</xdr:row>
      <xdr:rowOff>87312</xdr:rowOff>
    </xdr:to>
    <xdr:grpSp>
      <xdr:nvGrpSpPr>
        <xdr:cNvPr id="2" name="Groep 1">
          <a:extLst>
            <a:ext uri="{FF2B5EF4-FFF2-40B4-BE49-F238E27FC236}">
              <a16:creationId xmlns:a16="http://schemas.microsoft.com/office/drawing/2014/main" id="{F37A6E17-E55C-4E6B-A841-0E4F2BD4C7E0}"/>
            </a:ext>
          </a:extLst>
        </xdr:cNvPr>
        <xdr:cNvGrpSpPr/>
      </xdr:nvGrpSpPr>
      <xdr:grpSpPr>
        <a:xfrm>
          <a:off x="95250" y="10313987"/>
          <a:ext cx="2867025" cy="508000"/>
          <a:chOff x="0" y="7715250"/>
          <a:chExt cx="3611563" cy="492125"/>
        </a:xfrm>
      </xdr:grpSpPr>
      <xdr:grpSp>
        <xdr:nvGrpSpPr>
          <xdr:cNvPr id="3" name="Groep 2">
            <a:extLst>
              <a:ext uri="{FF2B5EF4-FFF2-40B4-BE49-F238E27FC236}">
                <a16:creationId xmlns:a16="http://schemas.microsoft.com/office/drawing/2014/main" id="{1E5D7E76-E37B-48B1-B903-B2D4EC8355D6}"/>
              </a:ext>
            </a:extLst>
          </xdr:cNvPr>
          <xdr:cNvGrpSpPr/>
        </xdr:nvGrpSpPr>
        <xdr:grpSpPr>
          <a:xfrm>
            <a:off x="0" y="7715250"/>
            <a:ext cx="2370138" cy="492125"/>
            <a:chOff x="0" y="7715250"/>
            <a:chExt cx="2370138" cy="492125"/>
          </a:xfrm>
        </xdr:grpSpPr>
        <xdr:sp macro="" textlink="">
          <xdr:nvSpPr>
            <xdr:cNvPr id="5" name="Rechthoek: afgeronde hoeken 4">
              <a:extLst>
                <a:ext uri="{FF2B5EF4-FFF2-40B4-BE49-F238E27FC236}">
                  <a16:creationId xmlns:a16="http://schemas.microsoft.com/office/drawing/2014/main" id="{79A75880-8B95-4470-AA54-B16237A6FABF}"/>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Activiteiten niet standaard in de SNL subsidie</a:t>
              </a:r>
            </a:p>
          </xdr:txBody>
        </xdr:sp>
        <xdr:sp macro="" textlink="">
          <xdr:nvSpPr>
            <xdr:cNvPr id="6" name="Rechthoek: afgeronde hoeken 5">
              <a:extLst>
                <a:ext uri="{FF2B5EF4-FFF2-40B4-BE49-F238E27FC236}">
                  <a16:creationId xmlns:a16="http://schemas.microsoft.com/office/drawing/2014/main" id="{63104CC4-87EF-496A-B90A-59CCD349D89F}"/>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Veldwerkzaamheden per hectare</a:t>
              </a:r>
            </a:p>
          </xdr:txBody>
        </xdr:sp>
      </xdr:grpSp>
      <xdr:sp macro="" textlink="">
        <xdr:nvSpPr>
          <xdr:cNvPr id="4" name="Rechthoek: afgeronde hoeken 3">
            <a:extLst>
              <a:ext uri="{FF2B5EF4-FFF2-40B4-BE49-F238E27FC236}">
                <a16:creationId xmlns:a16="http://schemas.microsoft.com/office/drawing/2014/main" id="{51E819D8-B2F8-4DF7-8807-F866D0FDA8A9}"/>
              </a:ext>
            </a:extLst>
          </xdr:cNvPr>
          <xdr:cNvSpPr/>
        </xdr:nvSpPr>
        <xdr:spPr>
          <a:xfrm>
            <a:off x="2457450" y="7721600"/>
            <a:ext cx="1154113" cy="481012"/>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(Bureau)werkzaamheden</a:t>
            </a:r>
            <a:r>
              <a:rPr lang="nl-NL" sz="600" baseline="0">
                <a:solidFill>
                  <a:sysClr val="windowText" lastClr="000000"/>
                </a:solidFill>
              </a:rPr>
              <a:t> per opdracht/gebied</a:t>
            </a:r>
            <a:endParaRPr lang="nl-NL" sz="600">
              <a:solidFill>
                <a:sysClr val="windowText" lastClr="000000"/>
              </a:solidFill>
            </a:endParaRPr>
          </a:p>
        </xdr:txBody>
      </xdr:sp>
    </xdr:grpSp>
    <xdr:clientData/>
  </xdr:twoCellAnchor>
  <xdr:twoCellAnchor>
    <xdr:from>
      <xdr:col>0</xdr:col>
      <xdr:colOff>522288</xdr:colOff>
      <xdr:row>21</xdr:row>
      <xdr:rowOff>101600</xdr:rowOff>
    </xdr:from>
    <xdr:to>
      <xdr:col>2</xdr:col>
      <xdr:colOff>202867</xdr:colOff>
      <xdr:row>59</xdr:row>
      <xdr:rowOff>159823</xdr:rowOff>
    </xdr:to>
    <xdr:grpSp>
      <xdr:nvGrpSpPr>
        <xdr:cNvPr id="7" name="Groep 6">
          <a:extLst>
            <a:ext uri="{FF2B5EF4-FFF2-40B4-BE49-F238E27FC236}">
              <a16:creationId xmlns:a16="http://schemas.microsoft.com/office/drawing/2014/main" id="{3DEED5DA-DC78-4D08-9F83-CC7F2BAB7FB7}"/>
            </a:ext>
          </a:extLst>
        </xdr:cNvPr>
        <xdr:cNvGrpSpPr/>
      </xdr:nvGrpSpPr>
      <xdr:grpSpPr>
        <a:xfrm>
          <a:off x="522288" y="3549650"/>
          <a:ext cx="1537954" cy="6211373"/>
          <a:chOff x="897304" y="877022"/>
          <a:chExt cx="1301012" cy="5302508"/>
        </a:xfrm>
      </xdr:grpSpPr>
      <xdr:grpSp>
        <xdr:nvGrpSpPr>
          <xdr:cNvPr id="8" name="Groep 7">
            <a:extLst>
              <a:ext uri="{FF2B5EF4-FFF2-40B4-BE49-F238E27FC236}">
                <a16:creationId xmlns:a16="http://schemas.microsoft.com/office/drawing/2014/main" id="{ED7E218E-616B-453D-9A03-083C16C48F67}"/>
              </a:ext>
            </a:extLst>
          </xdr:cNvPr>
          <xdr:cNvGrpSpPr/>
        </xdr:nvGrpSpPr>
        <xdr:grpSpPr>
          <a:xfrm>
            <a:off x="897304" y="877022"/>
            <a:ext cx="1301012" cy="5302508"/>
            <a:chOff x="943288" y="882262"/>
            <a:chExt cx="1288330" cy="5116455"/>
          </a:xfrm>
        </xdr:grpSpPr>
        <xdr:grpSp>
          <xdr:nvGrpSpPr>
            <xdr:cNvPr id="11" name="Groep 10">
              <a:extLst>
                <a:ext uri="{FF2B5EF4-FFF2-40B4-BE49-F238E27FC236}">
                  <a16:creationId xmlns:a16="http://schemas.microsoft.com/office/drawing/2014/main" id="{E476EC19-1EA5-4232-BB02-F6A23F8F147D}"/>
                </a:ext>
              </a:extLst>
            </xdr:cNvPr>
            <xdr:cNvGrpSpPr/>
          </xdr:nvGrpSpPr>
          <xdr:grpSpPr>
            <a:xfrm>
              <a:off x="943288" y="882262"/>
              <a:ext cx="1288330" cy="5116455"/>
              <a:chOff x="217391" y="829151"/>
              <a:chExt cx="1234701" cy="5343703"/>
            </a:xfrm>
          </xdr:grpSpPr>
          <xdr:sp macro="" textlink="">
            <xdr:nvSpPr>
              <xdr:cNvPr id="13" name="Rechthoek: afgeronde hoeken 12">
                <a:extLst>
                  <a:ext uri="{FF2B5EF4-FFF2-40B4-BE49-F238E27FC236}">
                    <a16:creationId xmlns:a16="http://schemas.microsoft.com/office/drawing/2014/main" id="{026F9C03-BA26-496D-B83E-043EF1124A44}"/>
                  </a:ext>
                </a:extLst>
              </xdr:cNvPr>
              <xdr:cNvSpPr/>
            </xdr:nvSpPr>
            <xdr:spPr>
              <a:xfrm>
                <a:off x="237937" y="829151"/>
                <a:ext cx="1196601" cy="57700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14" name="Rechthoek 13">
                <a:extLst>
                  <a:ext uri="{FF2B5EF4-FFF2-40B4-BE49-F238E27FC236}">
                    <a16:creationId xmlns:a16="http://schemas.microsoft.com/office/drawing/2014/main" id="{D6A5CDDA-819A-4636-A8E7-EFEAF0D0E522}"/>
                  </a:ext>
                </a:extLst>
              </xdr:cNvPr>
              <xdr:cNvSpPr/>
            </xdr:nvSpPr>
            <xdr:spPr>
              <a:xfrm>
                <a:off x="247649" y="2249454"/>
                <a:ext cx="1174376" cy="58073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sp macro="" textlink="">
            <xdr:nvSpPr>
              <xdr:cNvPr id="15" name="Rechthoek 14">
                <a:extLst>
                  <a:ext uri="{FF2B5EF4-FFF2-40B4-BE49-F238E27FC236}">
                    <a16:creationId xmlns:a16="http://schemas.microsoft.com/office/drawing/2014/main" id="{2EA66D9A-0855-4EA8-B1AE-6EFCEE508DEE}"/>
                  </a:ext>
                </a:extLst>
              </xdr:cNvPr>
              <xdr:cNvSpPr/>
            </xdr:nvSpPr>
            <xdr:spPr>
              <a:xfrm>
                <a:off x="227838" y="3112972"/>
                <a:ext cx="1215651" cy="58652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Veldbezoek  </a:t>
                </a:r>
              </a:p>
            </xdr:txBody>
          </xdr:sp>
          <xdr:sp macro="" textlink="">
            <xdr:nvSpPr>
              <xdr:cNvPr id="16" name="Rechthoek 15">
                <a:extLst>
                  <a:ext uri="{FF2B5EF4-FFF2-40B4-BE49-F238E27FC236}">
                    <a16:creationId xmlns:a16="http://schemas.microsoft.com/office/drawing/2014/main" id="{3C099785-2085-42AE-9836-42D6AB2124F7}"/>
                  </a:ext>
                </a:extLst>
              </xdr:cNvPr>
              <xdr:cNvSpPr/>
            </xdr:nvSpPr>
            <xdr:spPr>
              <a:xfrm>
                <a:off x="229022" y="4810705"/>
                <a:ext cx="1213371" cy="5807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Verwerken en opleveren gegevens</a:t>
                </a:r>
              </a:p>
            </xdr:txBody>
          </xdr:sp>
          <xdr:sp macro="" textlink="">
            <xdr:nvSpPr>
              <xdr:cNvPr id="17" name="Rechthoek: afgeronde hoeken 16">
                <a:extLst>
                  <a:ext uri="{FF2B5EF4-FFF2-40B4-BE49-F238E27FC236}">
                    <a16:creationId xmlns:a16="http://schemas.microsoft.com/office/drawing/2014/main" id="{24BA2005-9A9F-432D-AEDC-F13329D5A147}"/>
                  </a:ext>
                </a:extLst>
              </xdr:cNvPr>
              <xdr:cNvSpPr/>
            </xdr:nvSpPr>
            <xdr:spPr>
              <a:xfrm>
                <a:off x="217391" y="5582594"/>
                <a:ext cx="1234701" cy="59026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5. Begeleiding tbo's</a:t>
                </a:r>
              </a:p>
            </xdr:txBody>
          </xdr:sp>
          <xdr:cxnSp macro="">
            <xdr:nvCxnSpPr>
              <xdr:cNvPr id="18" name="Rechte verbindingslijn met pijl 17">
                <a:extLst>
                  <a:ext uri="{FF2B5EF4-FFF2-40B4-BE49-F238E27FC236}">
                    <a16:creationId xmlns:a16="http://schemas.microsoft.com/office/drawing/2014/main" id="{2BC37D36-956F-4C61-AC24-301FA28B4AD2}"/>
                  </a:ext>
                </a:extLst>
              </xdr:cNvPr>
              <xdr:cNvCxnSpPr>
                <a:stCxn id="13" idx="2"/>
                <a:endCxn id="14" idx="0"/>
              </xdr:cNvCxnSpPr>
            </xdr:nvCxnSpPr>
            <xdr:spPr>
              <a:xfrm flipH="1">
                <a:off x="834837" y="1406151"/>
                <a:ext cx="1400" cy="8433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Rechte verbindingslijn met pijl 18">
                <a:extLst>
                  <a:ext uri="{FF2B5EF4-FFF2-40B4-BE49-F238E27FC236}">
                    <a16:creationId xmlns:a16="http://schemas.microsoft.com/office/drawing/2014/main" id="{78118C2E-FEC4-456B-B776-66BAA13E4787}"/>
                  </a:ext>
                </a:extLst>
              </xdr:cNvPr>
              <xdr:cNvCxnSpPr>
                <a:cxnSpLocks/>
                <a:stCxn id="9" idx="2"/>
                <a:endCxn id="16" idx="0"/>
              </xdr:cNvCxnSpPr>
            </xdr:nvCxnSpPr>
            <xdr:spPr>
              <a:xfrm flipH="1">
                <a:off x="835708" y="4539954"/>
                <a:ext cx="1265" cy="270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Rechte verbindingslijn met pijl 19">
                <a:extLst>
                  <a:ext uri="{FF2B5EF4-FFF2-40B4-BE49-F238E27FC236}">
                    <a16:creationId xmlns:a16="http://schemas.microsoft.com/office/drawing/2014/main" id="{98F991AB-2238-4B4A-B48B-68BB1223DF9E}"/>
                  </a:ext>
                </a:extLst>
              </xdr:cNvPr>
              <xdr:cNvCxnSpPr>
                <a:stCxn id="16" idx="2"/>
                <a:endCxn id="17" idx="0"/>
              </xdr:cNvCxnSpPr>
            </xdr:nvCxnSpPr>
            <xdr:spPr>
              <a:xfrm flipH="1">
                <a:off x="834741" y="5391441"/>
                <a:ext cx="967" cy="1938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2" name="Rechte verbindingslijn met pijl 11">
              <a:extLst>
                <a:ext uri="{FF2B5EF4-FFF2-40B4-BE49-F238E27FC236}">
                  <a16:creationId xmlns:a16="http://schemas.microsoft.com/office/drawing/2014/main" id="{01C3DA1F-5D20-4EC8-9D2C-05402F736108}"/>
                </a:ext>
              </a:extLst>
            </xdr:cNvPr>
            <xdr:cNvCxnSpPr>
              <a:stCxn id="14" idx="2"/>
              <a:endCxn id="15" idx="0"/>
            </xdr:cNvCxnSpPr>
          </xdr:nvCxnSpPr>
          <xdr:spPr>
            <a:xfrm>
              <a:off x="1587553" y="2798203"/>
              <a:ext cx="862" cy="2707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 name="Rechthoek 8">
            <a:extLst>
              <a:ext uri="{FF2B5EF4-FFF2-40B4-BE49-F238E27FC236}">
                <a16:creationId xmlns:a16="http://schemas.microsoft.com/office/drawing/2014/main" id="{8C6EF2E0-2E3A-41B3-A1F1-D77D170B3D02}"/>
              </a:ext>
            </a:extLst>
          </xdr:cNvPr>
          <xdr:cNvSpPr/>
        </xdr:nvSpPr>
        <xdr:spPr>
          <a:xfrm>
            <a:off x="915988" y="3987986"/>
            <a:ext cx="1268370" cy="568598"/>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 Extra</a:t>
            </a:r>
            <a:r>
              <a:rPr lang="nl-NL" sz="800" baseline="0">
                <a:solidFill>
                  <a:sysClr val="windowText" lastClr="000000"/>
                </a:solidFill>
              </a:rPr>
              <a:t> v</a:t>
            </a:r>
            <a:r>
              <a:rPr lang="nl-NL" sz="800">
                <a:solidFill>
                  <a:sysClr val="windowText" lastClr="000000"/>
                </a:solidFill>
              </a:rPr>
              <a:t>eldbezoek  </a:t>
            </a:r>
          </a:p>
        </xdr:txBody>
      </xdr:sp>
      <xdr:cxnSp macro="">
        <xdr:nvCxnSpPr>
          <xdr:cNvPr id="10" name="Rechte verbindingslijn met pijl 9">
            <a:extLst>
              <a:ext uri="{FF2B5EF4-FFF2-40B4-BE49-F238E27FC236}">
                <a16:creationId xmlns:a16="http://schemas.microsoft.com/office/drawing/2014/main" id="{F7B7CCF5-F224-4AA2-82F8-34BB650859D9}"/>
              </a:ext>
            </a:extLst>
          </xdr:cNvPr>
          <xdr:cNvCxnSpPr>
            <a:stCxn id="15" idx="2"/>
            <a:endCxn id="9" idx="0"/>
          </xdr:cNvCxnSpPr>
        </xdr:nvCxnSpPr>
        <xdr:spPr>
          <a:xfrm>
            <a:off x="1548782" y="3725240"/>
            <a:ext cx="1392" cy="2627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32149</xdr:colOff>
      <xdr:row>4</xdr:row>
      <xdr:rowOff>119063</xdr:rowOff>
    </xdr:from>
    <xdr:to>
      <xdr:col>14</xdr:col>
      <xdr:colOff>491332</xdr:colOff>
      <xdr:row>16</xdr:row>
      <xdr:rowOff>119063</xdr:rowOff>
    </xdr:to>
    <xdr:graphicFrame macro="">
      <xdr:nvGraphicFramePr>
        <xdr:cNvPr id="30" name="Grafiek 29">
          <a:extLst>
            <a:ext uri="{FF2B5EF4-FFF2-40B4-BE49-F238E27FC236}">
              <a16:creationId xmlns:a16="http://schemas.microsoft.com/office/drawing/2014/main" id="{A8564E57-DB2E-A2E9-5016-3F8688C910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58</xdr:row>
      <xdr:rowOff>68262</xdr:rowOff>
    </xdr:from>
    <xdr:to>
      <xdr:col>3</xdr:col>
      <xdr:colOff>0</xdr:colOff>
      <xdr:row>61</xdr:row>
      <xdr:rowOff>84137</xdr:rowOff>
    </xdr:to>
    <xdr:grpSp>
      <xdr:nvGrpSpPr>
        <xdr:cNvPr id="2" name="Groep 1">
          <a:extLst>
            <a:ext uri="{FF2B5EF4-FFF2-40B4-BE49-F238E27FC236}">
              <a16:creationId xmlns:a16="http://schemas.microsoft.com/office/drawing/2014/main" id="{6F3801CE-29F8-4D6D-8ADC-CDAC7DA81DF5}"/>
            </a:ext>
          </a:extLst>
        </xdr:cNvPr>
        <xdr:cNvGrpSpPr/>
      </xdr:nvGrpSpPr>
      <xdr:grpSpPr>
        <a:xfrm>
          <a:off x="95250" y="9364662"/>
          <a:ext cx="3248025" cy="501650"/>
          <a:chOff x="0" y="7715250"/>
          <a:chExt cx="3611563" cy="492125"/>
        </a:xfrm>
      </xdr:grpSpPr>
      <xdr:grpSp>
        <xdr:nvGrpSpPr>
          <xdr:cNvPr id="3" name="Groep 2">
            <a:extLst>
              <a:ext uri="{FF2B5EF4-FFF2-40B4-BE49-F238E27FC236}">
                <a16:creationId xmlns:a16="http://schemas.microsoft.com/office/drawing/2014/main" id="{7D10693B-E3D2-4635-B46F-8EA3B90D973F}"/>
              </a:ext>
            </a:extLst>
          </xdr:cNvPr>
          <xdr:cNvGrpSpPr/>
        </xdr:nvGrpSpPr>
        <xdr:grpSpPr>
          <a:xfrm>
            <a:off x="0" y="7715250"/>
            <a:ext cx="2370138" cy="492125"/>
            <a:chOff x="0" y="7715250"/>
            <a:chExt cx="2370138" cy="492125"/>
          </a:xfrm>
        </xdr:grpSpPr>
        <xdr:sp macro="" textlink="">
          <xdr:nvSpPr>
            <xdr:cNvPr id="5" name="Rechthoek: afgeronde hoeken 4">
              <a:extLst>
                <a:ext uri="{FF2B5EF4-FFF2-40B4-BE49-F238E27FC236}">
                  <a16:creationId xmlns:a16="http://schemas.microsoft.com/office/drawing/2014/main" id="{8FC291CB-1037-4589-B428-BE2429F1FE4B}"/>
                </a:ext>
              </a:extLst>
            </xdr:cNvPr>
            <xdr:cNvSpPr/>
          </xdr:nvSpPr>
          <xdr:spPr>
            <a:xfrm>
              <a:off x="0" y="7723188"/>
              <a:ext cx="1150938" cy="484187"/>
            </a:xfrm>
            <a:prstGeom prst="roundRect">
              <a:avLst>
                <a:gd name="adj" fmla="val 44445"/>
              </a:avLst>
            </a:prstGeom>
          </xdr:spPr>
          <xdr:style>
            <a:lnRef idx="2">
              <a:schemeClr val="accent5"/>
            </a:lnRef>
            <a:fillRef idx="1">
              <a:schemeClr val="lt1"/>
            </a:fillRef>
            <a:effectRef idx="0">
              <a:schemeClr val="accent5"/>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Activiteiten niet standaard in de SNL subsidie</a:t>
              </a:r>
            </a:p>
          </xdr:txBody>
        </xdr:sp>
        <xdr:sp macro="" textlink="">
          <xdr:nvSpPr>
            <xdr:cNvPr id="6" name="Rechthoek: afgeronde hoeken 5">
              <a:extLst>
                <a:ext uri="{FF2B5EF4-FFF2-40B4-BE49-F238E27FC236}">
                  <a16:creationId xmlns:a16="http://schemas.microsoft.com/office/drawing/2014/main" id="{63662882-B06D-45F7-9EF4-C0C8B23FA020}"/>
                </a:ext>
              </a:extLst>
            </xdr:cNvPr>
            <xdr:cNvSpPr/>
          </xdr:nvSpPr>
          <xdr:spPr>
            <a:xfrm>
              <a:off x="1219200" y="7715250"/>
              <a:ext cx="1150938" cy="487362"/>
            </a:xfrm>
            <a:prstGeom prst="roundRect">
              <a:avLst>
                <a:gd name="adj" fmla="val 44445"/>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Veldwerkzaamheden per hectare</a:t>
              </a:r>
            </a:p>
          </xdr:txBody>
        </xdr:sp>
      </xdr:grpSp>
      <xdr:sp macro="" textlink="">
        <xdr:nvSpPr>
          <xdr:cNvPr id="4" name="Rechthoek: afgeronde hoeken 3">
            <a:extLst>
              <a:ext uri="{FF2B5EF4-FFF2-40B4-BE49-F238E27FC236}">
                <a16:creationId xmlns:a16="http://schemas.microsoft.com/office/drawing/2014/main" id="{0DA3B2B9-9A8C-4C45-9BEF-69AD7E06D827}"/>
              </a:ext>
            </a:extLst>
          </xdr:cNvPr>
          <xdr:cNvSpPr/>
        </xdr:nvSpPr>
        <xdr:spPr>
          <a:xfrm>
            <a:off x="2457450" y="7721600"/>
            <a:ext cx="1154113" cy="481012"/>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600">
                <a:solidFill>
                  <a:sysClr val="windowText" lastClr="000000"/>
                </a:solidFill>
              </a:rPr>
              <a:t>(Bureau)werkzaamheden</a:t>
            </a:r>
            <a:r>
              <a:rPr lang="nl-NL" sz="600" baseline="0">
                <a:solidFill>
                  <a:sysClr val="windowText" lastClr="000000"/>
                </a:solidFill>
              </a:rPr>
              <a:t> per opdracht/gebied</a:t>
            </a:r>
            <a:endParaRPr lang="nl-NL" sz="600">
              <a:solidFill>
                <a:sysClr val="windowText" lastClr="000000"/>
              </a:solidFill>
            </a:endParaRPr>
          </a:p>
        </xdr:txBody>
      </xdr:sp>
    </xdr:grpSp>
    <xdr:clientData/>
  </xdr:twoCellAnchor>
  <xdr:twoCellAnchor>
    <xdr:from>
      <xdr:col>0</xdr:col>
      <xdr:colOff>965197</xdr:colOff>
      <xdr:row>22</xdr:row>
      <xdr:rowOff>28575</xdr:rowOff>
    </xdr:from>
    <xdr:to>
      <xdr:col>2</xdr:col>
      <xdr:colOff>235300</xdr:colOff>
      <xdr:row>55</xdr:row>
      <xdr:rowOff>45523</xdr:rowOff>
    </xdr:to>
    <xdr:grpSp>
      <xdr:nvGrpSpPr>
        <xdr:cNvPr id="8" name="Groep 7">
          <a:extLst>
            <a:ext uri="{FF2B5EF4-FFF2-40B4-BE49-F238E27FC236}">
              <a16:creationId xmlns:a16="http://schemas.microsoft.com/office/drawing/2014/main" id="{F6A31822-E0F1-46B0-BCE0-69B1085554F3}"/>
            </a:ext>
          </a:extLst>
        </xdr:cNvPr>
        <xdr:cNvGrpSpPr/>
      </xdr:nvGrpSpPr>
      <xdr:grpSpPr>
        <a:xfrm>
          <a:off x="965197" y="3638550"/>
          <a:ext cx="1508478" cy="5217598"/>
          <a:chOff x="954047" y="882262"/>
          <a:chExt cx="1288330" cy="4159629"/>
        </a:xfrm>
      </xdr:grpSpPr>
      <xdr:grpSp>
        <xdr:nvGrpSpPr>
          <xdr:cNvPr id="11" name="Groep 10">
            <a:extLst>
              <a:ext uri="{FF2B5EF4-FFF2-40B4-BE49-F238E27FC236}">
                <a16:creationId xmlns:a16="http://schemas.microsoft.com/office/drawing/2014/main" id="{0228DAC7-87CC-4048-B62C-FB0B2D4FFF37}"/>
              </a:ext>
            </a:extLst>
          </xdr:cNvPr>
          <xdr:cNvGrpSpPr/>
        </xdr:nvGrpSpPr>
        <xdr:grpSpPr>
          <a:xfrm>
            <a:off x="954047" y="882262"/>
            <a:ext cx="1288330" cy="4159629"/>
            <a:chOff x="227703" y="829151"/>
            <a:chExt cx="1234701" cy="4344379"/>
          </a:xfrm>
        </xdr:grpSpPr>
        <xdr:sp macro="" textlink="">
          <xdr:nvSpPr>
            <xdr:cNvPr id="13" name="Rechthoek: afgeronde hoeken 12">
              <a:extLst>
                <a:ext uri="{FF2B5EF4-FFF2-40B4-BE49-F238E27FC236}">
                  <a16:creationId xmlns:a16="http://schemas.microsoft.com/office/drawing/2014/main" id="{FC880805-35A5-444C-ADAF-EB1D9D1F3423}"/>
                </a:ext>
              </a:extLst>
            </xdr:cNvPr>
            <xdr:cNvSpPr/>
          </xdr:nvSpPr>
          <xdr:spPr>
            <a:xfrm>
              <a:off x="237937" y="829151"/>
              <a:ext cx="1196601" cy="57700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0. Voorbereiding aanbesteding</a:t>
              </a:r>
            </a:p>
          </xdr:txBody>
        </xdr:sp>
        <xdr:sp macro="" textlink="">
          <xdr:nvSpPr>
            <xdr:cNvPr id="14" name="Rechthoek 13">
              <a:extLst>
                <a:ext uri="{FF2B5EF4-FFF2-40B4-BE49-F238E27FC236}">
                  <a16:creationId xmlns:a16="http://schemas.microsoft.com/office/drawing/2014/main" id="{90B3E8C8-40F7-49E6-890D-0D0429EC9F6E}"/>
                </a:ext>
              </a:extLst>
            </xdr:cNvPr>
            <xdr:cNvSpPr/>
          </xdr:nvSpPr>
          <xdr:spPr>
            <a:xfrm>
              <a:off x="247649" y="1921589"/>
              <a:ext cx="1174376" cy="58073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1. Voorbereiding </a:t>
              </a:r>
            </a:p>
          </xdr:txBody>
        </xdr:sp>
        <xdr:sp macro="" textlink="">
          <xdr:nvSpPr>
            <xdr:cNvPr id="15" name="Rechthoek 14">
              <a:extLst>
                <a:ext uri="{FF2B5EF4-FFF2-40B4-BE49-F238E27FC236}">
                  <a16:creationId xmlns:a16="http://schemas.microsoft.com/office/drawing/2014/main" id="{7FC15FA5-EAD4-4F5C-BEE1-7C9F42D6C90F}"/>
                </a:ext>
              </a:extLst>
            </xdr:cNvPr>
            <xdr:cNvSpPr/>
          </xdr:nvSpPr>
          <xdr:spPr>
            <a:xfrm>
              <a:off x="227838" y="2867321"/>
              <a:ext cx="1215651" cy="586525"/>
            </a:xfrm>
            <a:prstGeom prst="rect">
              <a:avLst/>
            </a:prstGeom>
          </xdr:spPr>
          <xdr:style>
            <a:lnRef idx="2">
              <a:schemeClr val="accent3"/>
            </a:lnRef>
            <a:fillRef idx="1">
              <a:schemeClr val="lt1"/>
            </a:fillRef>
            <a:effectRef idx="0">
              <a:schemeClr val="accent3"/>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2. Bosstructuurkartering  </a:t>
              </a:r>
            </a:p>
          </xdr:txBody>
        </xdr:sp>
        <xdr:sp macro="" textlink="">
          <xdr:nvSpPr>
            <xdr:cNvPr id="16" name="Rechthoek 15">
              <a:extLst>
                <a:ext uri="{FF2B5EF4-FFF2-40B4-BE49-F238E27FC236}">
                  <a16:creationId xmlns:a16="http://schemas.microsoft.com/office/drawing/2014/main" id="{1824852E-9AE0-404F-BB59-01DB8149FB2B}"/>
                </a:ext>
              </a:extLst>
            </xdr:cNvPr>
            <xdr:cNvSpPr/>
          </xdr:nvSpPr>
          <xdr:spPr>
            <a:xfrm>
              <a:off x="231070" y="3741187"/>
              <a:ext cx="1218826" cy="58073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3. Verwerken en opleveren gegevens</a:t>
              </a:r>
            </a:p>
          </xdr:txBody>
        </xdr:sp>
        <xdr:sp macro="" textlink="">
          <xdr:nvSpPr>
            <xdr:cNvPr id="17" name="Rechthoek: afgeronde hoeken 16">
              <a:extLst>
                <a:ext uri="{FF2B5EF4-FFF2-40B4-BE49-F238E27FC236}">
                  <a16:creationId xmlns:a16="http://schemas.microsoft.com/office/drawing/2014/main" id="{F8EA5CA8-A69D-4108-AB48-BB56080ED9B4}"/>
                </a:ext>
              </a:extLst>
            </xdr:cNvPr>
            <xdr:cNvSpPr/>
          </xdr:nvSpPr>
          <xdr:spPr>
            <a:xfrm>
              <a:off x="227703" y="4583270"/>
              <a:ext cx="1234701" cy="590260"/>
            </a:xfrm>
            <a:prstGeom prst="roundRect">
              <a:avLst>
                <a:gd name="adj" fmla="val 44445"/>
              </a:avLst>
            </a:prstGeom>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nchorCtr="0"/>
            <a:lstStyle/>
            <a:p>
              <a:pPr algn="ctr"/>
              <a:r>
                <a:rPr lang="nl-NL" sz="800">
                  <a:solidFill>
                    <a:sysClr val="windowText" lastClr="000000"/>
                  </a:solidFill>
                </a:rPr>
                <a:t>4. Begeleiding tbo's</a:t>
              </a:r>
            </a:p>
          </xdr:txBody>
        </xdr:sp>
        <xdr:cxnSp macro="">
          <xdr:nvCxnSpPr>
            <xdr:cNvPr id="18" name="Rechte verbindingslijn met pijl 17">
              <a:extLst>
                <a:ext uri="{FF2B5EF4-FFF2-40B4-BE49-F238E27FC236}">
                  <a16:creationId xmlns:a16="http://schemas.microsoft.com/office/drawing/2014/main" id="{9F9F52CE-AFD6-4F80-848B-9CE08F495C37}"/>
                </a:ext>
              </a:extLst>
            </xdr:cNvPr>
            <xdr:cNvCxnSpPr>
              <a:stCxn id="13" idx="2"/>
              <a:endCxn id="14" idx="0"/>
            </xdr:cNvCxnSpPr>
          </xdr:nvCxnSpPr>
          <xdr:spPr>
            <a:xfrm flipH="1">
              <a:off x="834837" y="1406151"/>
              <a:ext cx="1401" cy="5154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Rechte verbindingslijn met pijl 18">
              <a:extLst>
                <a:ext uri="{FF2B5EF4-FFF2-40B4-BE49-F238E27FC236}">
                  <a16:creationId xmlns:a16="http://schemas.microsoft.com/office/drawing/2014/main" id="{6FC5AC97-F9D8-4B94-8FCD-BEE119DF9C8A}"/>
                </a:ext>
              </a:extLst>
            </xdr:cNvPr>
            <xdr:cNvCxnSpPr>
              <a:cxnSpLocks/>
              <a:stCxn id="15" idx="2"/>
              <a:endCxn id="16" idx="0"/>
            </xdr:cNvCxnSpPr>
          </xdr:nvCxnSpPr>
          <xdr:spPr>
            <a:xfrm>
              <a:off x="835663" y="3453846"/>
              <a:ext cx="4820" cy="2873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Rechte verbindingslijn met pijl 19">
              <a:extLst>
                <a:ext uri="{FF2B5EF4-FFF2-40B4-BE49-F238E27FC236}">
                  <a16:creationId xmlns:a16="http://schemas.microsoft.com/office/drawing/2014/main" id="{162C5B22-1859-46A4-83B1-72B7E479623F}"/>
                </a:ext>
              </a:extLst>
            </xdr:cNvPr>
            <xdr:cNvCxnSpPr>
              <a:stCxn id="16" idx="2"/>
              <a:endCxn id="17" idx="0"/>
            </xdr:cNvCxnSpPr>
          </xdr:nvCxnSpPr>
          <xdr:spPr>
            <a:xfrm>
              <a:off x="840484" y="4321924"/>
              <a:ext cx="4570" cy="2613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2" name="Rechte verbindingslijn met pijl 11">
            <a:extLst>
              <a:ext uri="{FF2B5EF4-FFF2-40B4-BE49-F238E27FC236}">
                <a16:creationId xmlns:a16="http://schemas.microsoft.com/office/drawing/2014/main" id="{24A9FE4E-0018-4B56-9E7E-A84AF521A853}"/>
              </a:ext>
            </a:extLst>
          </xdr:cNvPr>
          <xdr:cNvCxnSpPr>
            <a:stCxn id="14" idx="2"/>
            <a:endCxn id="15" idx="0"/>
          </xdr:cNvCxnSpPr>
        </xdr:nvCxnSpPr>
        <xdr:spPr>
          <a:xfrm>
            <a:off x="1587551" y="2484281"/>
            <a:ext cx="863" cy="349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44450</xdr:colOff>
      <xdr:row>4</xdr:row>
      <xdr:rowOff>139700</xdr:rowOff>
    </xdr:from>
    <xdr:to>
      <xdr:col>12</xdr:col>
      <xdr:colOff>600074</xdr:colOff>
      <xdr:row>16</xdr:row>
      <xdr:rowOff>114300</xdr:rowOff>
    </xdr:to>
    <xdr:graphicFrame macro="">
      <xdr:nvGraphicFramePr>
        <xdr:cNvPr id="9" name="Grafiek 8">
          <a:extLst>
            <a:ext uri="{FF2B5EF4-FFF2-40B4-BE49-F238E27FC236}">
              <a16:creationId xmlns:a16="http://schemas.microsoft.com/office/drawing/2014/main" id="{F3153E79-0568-C1EF-0F1B-72934CB247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raconsulting.sharepoint.com/sites/SiraConsulting/Shared%20Documents/Kennis%20projecten/SKM/170227%20sjabloon%20S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book"/>
      <sheetName val="Q-Gen - data drop down"/>
      <sheetName val="Drop downs"/>
      <sheetName val="Aantallen"/>
      <sheetName val="Meetgegeven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Sira_Consulting">
  <a:themeElements>
    <a:clrScheme name="Sira_Consulting">
      <a:dk1>
        <a:srgbClr val="000000"/>
      </a:dk1>
      <a:lt1>
        <a:srgbClr val="FFFFFF"/>
      </a:lt1>
      <a:dk2>
        <a:srgbClr val="58595B"/>
      </a:dk2>
      <a:lt2>
        <a:srgbClr val="DEDEDE"/>
      </a:lt2>
      <a:accent1>
        <a:srgbClr val="00B3E7"/>
      </a:accent1>
      <a:accent2>
        <a:srgbClr val="CCF0FA"/>
      </a:accent2>
      <a:accent3>
        <a:srgbClr val="17CA80"/>
      </a:accent3>
      <a:accent4>
        <a:srgbClr val="D1F4E6"/>
      </a:accent4>
      <a:accent5>
        <a:srgbClr val="FF6D2E"/>
      </a:accent5>
      <a:accent6>
        <a:srgbClr val="FFE2D5"/>
      </a:accent6>
      <a:hlink>
        <a:srgbClr val="0000FF"/>
      </a:hlink>
      <a:folHlink>
        <a:srgbClr val="800080"/>
      </a:folHlink>
    </a:clrScheme>
    <a:fontScheme name="Sira">
      <a:majorFont>
        <a:latin typeface="Verdana"/>
        <a:ea typeface=""/>
        <a:cs typeface=""/>
      </a:majorFont>
      <a:minorFont>
        <a:latin typeface="Verdana"/>
        <a:ea typeface=""/>
        <a:cs typeface=""/>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Sira_Consulting" id="{9B5C691C-326E-4708-BB44-9DD32F735578}" vid="{FA6236EF-E750-4781-BDB0-F5BD6FEB2893}"/>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087EB-F876-467D-B796-978B4D708D70}">
  <sheetPr>
    <pageSetUpPr fitToPage="1"/>
  </sheetPr>
  <dimension ref="A1:N36"/>
  <sheetViews>
    <sheetView workbookViewId="0">
      <pane ySplit="2" topLeftCell="A3" activePane="bottomLeft" state="frozen"/>
      <selection activeCell="D57" sqref="D57:G62"/>
      <selection pane="bottomLeft" activeCell="F45" sqref="F45"/>
    </sheetView>
  </sheetViews>
  <sheetFormatPr defaultColWidth="9.09765625" defaultRowHeight="10.5" x14ac:dyDescent="0.15"/>
  <cols>
    <col min="1" max="1" width="3.3984375" style="3" customWidth="1"/>
    <col min="2" max="16384" width="9.09765625" style="3"/>
  </cols>
  <sheetData>
    <row r="1" spans="1:14" s="485" customFormat="1" ht="9.9499999999999993" customHeight="1" x14ac:dyDescent="0.25">
      <c r="A1" s="605" t="str" cm="1">
        <f t="array" aca="1" ref="A1" ca="1">MID(CELL("bestandsnaam",$A$1),FIND("]",CELL("bestandsnaam",$A$1))+1,50)</f>
        <v>0. Inleiding</v>
      </c>
      <c r="B1" s="605"/>
      <c r="C1" s="605"/>
      <c r="D1" s="605"/>
      <c r="E1" s="605"/>
      <c r="F1" s="605"/>
      <c r="G1" s="605"/>
      <c r="H1" s="605"/>
      <c r="I1" s="605"/>
      <c r="J1" s="605"/>
    </row>
    <row r="2" spans="1:14" s="485" customFormat="1" ht="9.9499999999999993" customHeight="1" x14ac:dyDescent="0.25">
      <c r="A2" s="605"/>
      <c r="B2" s="605"/>
      <c r="C2" s="605"/>
      <c r="D2" s="605"/>
      <c r="E2" s="605"/>
      <c r="F2" s="605"/>
      <c r="G2" s="605"/>
      <c r="H2" s="605"/>
      <c r="I2" s="605"/>
      <c r="J2" s="605"/>
    </row>
    <row r="3" spans="1:14" ht="9.9499999999999993" customHeight="1" x14ac:dyDescent="0.15">
      <c r="A3" s="606" t="s">
        <v>0</v>
      </c>
      <c r="B3" s="606"/>
      <c r="C3" s="606"/>
      <c r="D3" s="606"/>
      <c r="E3" s="606"/>
      <c r="F3" s="606"/>
      <c r="G3" s="606"/>
      <c r="H3" s="606"/>
      <c r="I3" s="606"/>
      <c r="J3" s="606"/>
      <c r="K3" s="606"/>
      <c r="L3" s="606"/>
      <c r="M3" s="606"/>
    </row>
    <row r="4" spans="1:14" ht="9.9499999999999993" customHeight="1" x14ac:dyDescent="0.15">
      <c r="A4" s="606"/>
      <c r="B4" s="606"/>
      <c r="C4" s="606"/>
      <c r="D4" s="606"/>
      <c r="E4" s="606"/>
      <c r="F4" s="606"/>
      <c r="G4" s="606"/>
      <c r="H4" s="606"/>
      <c r="I4" s="606"/>
      <c r="J4" s="606"/>
      <c r="K4" s="606"/>
      <c r="L4" s="606"/>
      <c r="M4" s="606"/>
      <c r="N4" s="126"/>
    </row>
    <row r="5" spans="1:14" x14ac:dyDescent="0.15">
      <c r="A5" s="606"/>
      <c r="B5" s="606"/>
      <c r="C5" s="606"/>
      <c r="D5" s="606"/>
      <c r="E5" s="606"/>
      <c r="F5" s="606"/>
      <c r="G5" s="606"/>
      <c r="H5" s="606"/>
      <c r="I5" s="606"/>
      <c r="J5" s="606"/>
      <c r="K5" s="606"/>
      <c r="L5" s="606"/>
      <c r="M5" s="606"/>
      <c r="N5" s="126"/>
    </row>
    <row r="6" spans="1:14" x14ac:dyDescent="0.15">
      <c r="A6" s="606"/>
      <c r="B6" s="606"/>
      <c r="C6" s="606"/>
      <c r="D6" s="606"/>
      <c r="E6" s="606"/>
      <c r="F6" s="606"/>
      <c r="G6" s="606"/>
      <c r="H6" s="606"/>
      <c r="I6" s="606"/>
      <c r="J6" s="606"/>
      <c r="K6" s="606"/>
      <c r="L6" s="606"/>
      <c r="M6" s="606"/>
      <c r="N6" s="126"/>
    </row>
    <row r="7" spans="1:14" x14ac:dyDescent="0.15">
      <c r="A7" s="606"/>
      <c r="B7" s="606"/>
      <c r="C7" s="606"/>
      <c r="D7" s="606"/>
      <c r="E7" s="606"/>
      <c r="F7" s="606"/>
      <c r="G7" s="606"/>
      <c r="H7" s="606"/>
      <c r="I7" s="606"/>
      <c r="J7" s="606"/>
      <c r="K7" s="606"/>
      <c r="L7" s="606"/>
      <c r="M7" s="606"/>
      <c r="N7" s="126"/>
    </row>
    <row r="8" spans="1:14" x14ac:dyDescent="0.15">
      <c r="A8" s="624" t="s">
        <v>1</v>
      </c>
      <c r="B8" s="625"/>
      <c r="C8" s="625"/>
      <c r="D8" s="625"/>
      <c r="E8" s="294" t="s">
        <v>2</v>
      </c>
      <c r="F8" s="295"/>
      <c r="G8" s="295"/>
      <c r="H8" s="295"/>
      <c r="I8" s="295"/>
      <c r="J8" s="296"/>
    </row>
    <row r="9" spans="1:14" x14ac:dyDescent="0.15">
      <c r="A9" s="621" t="s">
        <v>3</v>
      </c>
      <c r="B9" s="615" t="s">
        <v>4</v>
      </c>
      <c r="C9" s="615"/>
      <c r="D9" s="616"/>
      <c r="E9" s="607" t="s">
        <v>5</v>
      </c>
      <c r="F9" s="608"/>
      <c r="G9" s="608"/>
      <c r="H9" s="608"/>
      <c r="I9" s="608"/>
      <c r="J9" s="609"/>
    </row>
    <row r="10" spans="1:14" x14ac:dyDescent="0.15">
      <c r="A10" s="622"/>
      <c r="B10" s="617"/>
      <c r="C10" s="617"/>
      <c r="D10" s="618"/>
      <c r="E10" s="610"/>
      <c r="F10" s="606"/>
      <c r="G10" s="606"/>
      <c r="H10" s="606"/>
      <c r="I10" s="606"/>
      <c r="J10" s="611"/>
    </row>
    <row r="11" spans="1:14" x14ac:dyDescent="0.15">
      <c r="A11" s="622"/>
      <c r="B11" s="617"/>
      <c r="C11" s="617"/>
      <c r="D11" s="618"/>
      <c r="E11" s="610"/>
      <c r="F11" s="606"/>
      <c r="G11" s="606"/>
      <c r="H11" s="606"/>
      <c r="I11" s="606"/>
      <c r="J11" s="611"/>
    </row>
    <row r="12" spans="1:14" x14ac:dyDescent="0.15">
      <c r="A12" s="622"/>
      <c r="B12" s="617"/>
      <c r="C12" s="617"/>
      <c r="D12" s="618"/>
      <c r="E12" s="610"/>
      <c r="F12" s="606"/>
      <c r="G12" s="606"/>
      <c r="H12" s="606"/>
      <c r="I12" s="606"/>
      <c r="J12" s="611"/>
    </row>
    <row r="13" spans="1:14" x14ac:dyDescent="0.15">
      <c r="A13" s="623"/>
      <c r="B13" s="619"/>
      <c r="C13" s="619"/>
      <c r="D13" s="620"/>
      <c r="E13" s="612"/>
      <c r="F13" s="613"/>
      <c r="G13" s="613"/>
      <c r="H13" s="613"/>
      <c r="I13" s="613"/>
      <c r="J13" s="614"/>
    </row>
    <row r="14" spans="1:14" ht="9.9499999999999993" customHeight="1" x14ac:dyDescent="0.15">
      <c r="A14" s="621" t="s">
        <v>6</v>
      </c>
      <c r="B14" s="615" t="s">
        <v>7</v>
      </c>
      <c r="C14" s="615"/>
      <c r="D14" s="616"/>
      <c r="E14" s="607" t="s">
        <v>8</v>
      </c>
      <c r="F14" s="608"/>
      <c r="G14" s="608"/>
      <c r="H14" s="608"/>
      <c r="I14" s="608"/>
      <c r="J14" s="609"/>
    </row>
    <row r="15" spans="1:14" x14ac:dyDescent="0.15">
      <c r="A15" s="622"/>
      <c r="B15" s="617"/>
      <c r="C15" s="617"/>
      <c r="D15" s="618"/>
      <c r="E15" s="610"/>
      <c r="F15" s="606"/>
      <c r="G15" s="606"/>
      <c r="H15" s="606"/>
      <c r="I15" s="606"/>
      <c r="J15" s="611"/>
    </row>
    <row r="16" spans="1:14" x14ac:dyDescent="0.15">
      <c r="A16" s="622"/>
      <c r="B16" s="617"/>
      <c r="C16" s="617"/>
      <c r="D16" s="618"/>
      <c r="E16" s="610"/>
      <c r="F16" s="606"/>
      <c r="G16" s="606"/>
      <c r="H16" s="606"/>
      <c r="I16" s="606"/>
      <c r="J16" s="611"/>
    </row>
    <row r="17" spans="1:10" x14ac:dyDescent="0.15">
      <c r="A17" s="622"/>
      <c r="B17" s="617"/>
      <c r="C17" s="617"/>
      <c r="D17" s="618"/>
      <c r="E17" s="610"/>
      <c r="F17" s="606"/>
      <c r="G17" s="606"/>
      <c r="H17" s="606"/>
      <c r="I17" s="606"/>
      <c r="J17" s="611"/>
    </row>
    <row r="18" spans="1:10" x14ac:dyDescent="0.15">
      <c r="A18" s="623"/>
      <c r="B18" s="619"/>
      <c r="C18" s="619"/>
      <c r="D18" s="620"/>
      <c r="E18" s="612"/>
      <c r="F18" s="613"/>
      <c r="G18" s="613"/>
      <c r="H18" s="613"/>
      <c r="I18" s="613"/>
      <c r="J18" s="614"/>
    </row>
    <row r="19" spans="1:10" ht="9.9499999999999993" customHeight="1" x14ac:dyDescent="0.15">
      <c r="A19" s="621" t="s">
        <v>9</v>
      </c>
      <c r="B19" s="615" t="s">
        <v>10</v>
      </c>
      <c r="C19" s="615"/>
      <c r="D19" s="616"/>
      <c r="E19" s="607" t="s">
        <v>11</v>
      </c>
      <c r="F19" s="608"/>
      <c r="G19" s="608"/>
      <c r="H19" s="608"/>
      <c r="I19" s="608"/>
      <c r="J19" s="609"/>
    </row>
    <row r="20" spans="1:10" x14ac:dyDescent="0.15">
      <c r="A20" s="622"/>
      <c r="B20" s="617"/>
      <c r="C20" s="617"/>
      <c r="D20" s="618"/>
      <c r="E20" s="610"/>
      <c r="F20" s="606"/>
      <c r="G20" s="606"/>
      <c r="H20" s="606"/>
      <c r="I20" s="606"/>
      <c r="J20" s="611"/>
    </row>
    <row r="21" spans="1:10" x14ac:dyDescent="0.15">
      <c r="A21" s="622"/>
      <c r="B21" s="617"/>
      <c r="C21" s="617"/>
      <c r="D21" s="618"/>
      <c r="E21" s="610"/>
      <c r="F21" s="606"/>
      <c r="G21" s="606"/>
      <c r="H21" s="606"/>
      <c r="I21" s="606"/>
      <c r="J21" s="611"/>
    </row>
    <row r="22" spans="1:10" ht="9.9499999999999993" customHeight="1" x14ac:dyDescent="0.15">
      <c r="A22" s="621" t="s">
        <v>12</v>
      </c>
      <c r="B22" s="615" t="s">
        <v>13</v>
      </c>
      <c r="C22" s="615"/>
      <c r="D22" s="616"/>
      <c r="E22" s="607" t="s">
        <v>14</v>
      </c>
      <c r="F22" s="608"/>
      <c r="G22" s="608"/>
      <c r="H22" s="608"/>
      <c r="I22" s="608"/>
      <c r="J22" s="609"/>
    </row>
    <row r="23" spans="1:10" x14ac:dyDescent="0.15">
      <c r="A23" s="622"/>
      <c r="B23" s="617"/>
      <c r="C23" s="617"/>
      <c r="D23" s="618"/>
      <c r="E23" s="610"/>
      <c r="F23" s="606"/>
      <c r="G23" s="606"/>
      <c r="H23" s="606"/>
      <c r="I23" s="606"/>
      <c r="J23" s="611"/>
    </row>
    <row r="24" spans="1:10" x14ac:dyDescent="0.15">
      <c r="A24" s="623"/>
      <c r="B24" s="619"/>
      <c r="C24" s="619"/>
      <c r="D24" s="620"/>
      <c r="E24" s="612"/>
      <c r="F24" s="613"/>
      <c r="G24" s="613"/>
      <c r="H24" s="613"/>
      <c r="I24" s="613"/>
      <c r="J24" s="614"/>
    </row>
    <row r="25" spans="1:10" ht="9.9499999999999993" customHeight="1" x14ac:dyDescent="0.15">
      <c r="A25" s="621" t="s">
        <v>15</v>
      </c>
      <c r="B25" s="615" t="s">
        <v>16</v>
      </c>
      <c r="C25" s="615"/>
      <c r="D25" s="615"/>
      <c r="E25" s="607" t="s">
        <v>17</v>
      </c>
      <c r="F25" s="608"/>
      <c r="G25" s="608"/>
      <c r="H25" s="608"/>
      <c r="I25" s="608"/>
      <c r="J25" s="609"/>
    </row>
    <row r="26" spans="1:10" x14ac:dyDescent="0.15">
      <c r="A26" s="622"/>
      <c r="B26" s="617"/>
      <c r="C26" s="617"/>
      <c r="D26" s="617"/>
      <c r="E26" s="610"/>
      <c r="F26" s="606"/>
      <c r="G26" s="606"/>
      <c r="H26" s="606"/>
      <c r="I26" s="606"/>
      <c r="J26" s="611"/>
    </row>
    <row r="27" spans="1:10" x14ac:dyDescent="0.15">
      <c r="A27" s="630" t="s">
        <v>18</v>
      </c>
      <c r="B27" s="626" t="s">
        <v>19</v>
      </c>
      <c r="C27" s="626"/>
      <c r="D27" s="627"/>
      <c r="E27" s="610"/>
      <c r="F27" s="606"/>
      <c r="G27" s="606"/>
      <c r="H27" s="606"/>
      <c r="I27" s="606"/>
      <c r="J27" s="611"/>
    </row>
    <row r="28" spans="1:10" x14ac:dyDescent="0.15">
      <c r="A28" s="631"/>
      <c r="B28" s="628"/>
      <c r="C28" s="628"/>
      <c r="D28" s="629"/>
      <c r="E28" s="610"/>
      <c r="F28" s="606"/>
      <c r="G28" s="606"/>
      <c r="H28" s="606"/>
      <c r="I28" s="606"/>
      <c r="J28" s="611"/>
    </row>
    <row r="29" spans="1:10" x14ac:dyDescent="0.15">
      <c r="A29" s="630" t="s">
        <v>20</v>
      </c>
      <c r="B29" s="626" t="s">
        <v>21</v>
      </c>
      <c r="C29" s="626"/>
      <c r="D29" s="627"/>
      <c r="E29" s="610"/>
      <c r="F29" s="606"/>
      <c r="G29" s="606"/>
      <c r="H29" s="606"/>
      <c r="I29" s="606"/>
      <c r="J29" s="611"/>
    </row>
    <row r="30" spans="1:10" x14ac:dyDescent="0.15">
      <c r="A30" s="631"/>
      <c r="B30" s="628"/>
      <c r="C30" s="628"/>
      <c r="D30" s="629"/>
      <c r="E30" s="610"/>
      <c r="F30" s="606"/>
      <c r="G30" s="606"/>
      <c r="H30" s="606"/>
      <c r="I30" s="606"/>
      <c r="J30" s="611"/>
    </row>
    <row r="31" spans="1:10" x14ac:dyDescent="0.15">
      <c r="A31" s="630" t="s">
        <v>22</v>
      </c>
      <c r="B31" s="626" t="s">
        <v>23</v>
      </c>
      <c r="C31" s="626"/>
      <c r="D31" s="627"/>
      <c r="E31" s="610"/>
      <c r="F31" s="606"/>
      <c r="G31" s="606"/>
      <c r="H31" s="606"/>
      <c r="I31" s="606"/>
      <c r="J31" s="611"/>
    </row>
    <row r="32" spans="1:10" x14ac:dyDescent="0.15">
      <c r="A32" s="631"/>
      <c r="B32" s="628"/>
      <c r="C32" s="628"/>
      <c r="D32" s="629"/>
      <c r="E32" s="610"/>
      <c r="F32" s="606"/>
      <c r="G32" s="606"/>
      <c r="H32" s="606"/>
      <c r="I32" s="606"/>
      <c r="J32" s="611"/>
    </row>
    <row r="33" spans="1:10" x14ac:dyDescent="0.15">
      <c r="A33" s="622" t="s">
        <v>24</v>
      </c>
      <c r="B33" s="617" t="s">
        <v>25</v>
      </c>
      <c r="C33" s="617"/>
      <c r="D33" s="618"/>
      <c r="E33" s="610"/>
      <c r="F33" s="606"/>
      <c r="G33" s="606"/>
      <c r="H33" s="606"/>
      <c r="I33" s="606"/>
      <c r="J33" s="611"/>
    </row>
    <row r="34" spans="1:10" x14ac:dyDescent="0.15">
      <c r="A34" s="631"/>
      <c r="B34" s="628"/>
      <c r="C34" s="628"/>
      <c r="D34" s="629"/>
      <c r="E34" s="610"/>
      <c r="F34" s="606"/>
      <c r="G34" s="606"/>
      <c r="H34" s="606"/>
      <c r="I34" s="606"/>
      <c r="J34" s="611"/>
    </row>
    <row r="35" spans="1:10" x14ac:dyDescent="0.15">
      <c r="A35" s="622" t="s">
        <v>26</v>
      </c>
      <c r="B35" s="617" t="s">
        <v>27</v>
      </c>
      <c r="C35" s="617"/>
      <c r="D35" s="617"/>
      <c r="E35" s="610"/>
      <c r="F35" s="606"/>
      <c r="G35" s="606"/>
      <c r="H35" s="606"/>
      <c r="I35" s="606"/>
      <c r="J35" s="611"/>
    </row>
    <row r="36" spans="1:10" x14ac:dyDescent="0.15">
      <c r="A36" s="623"/>
      <c r="B36" s="619"/>
      <c r="C36" s="619"/>
      <c r="D36" s="619"/>
      <c r="E36" s="612"/>
      <c r="F36" s="613"/>
      <c r="G36" s="613"/>
      <c r="H36" s="613"/>
      <c r="I36" s="613"/>
      <c r="J36" s="614"/>
    </row>
  </sheetData>
  <mergeCells count="28">
    <mergeCell ref="E25:J36"/>
    <mergeCell ref="B31:D32"/>
    <mergeCell ref="B33:D34"/>
    <mergeCell ref="A25:A26"/>
    <mergeCell ref="A27:A28"/>
    <mergeCell ref="A29:A30"/>
    <mergeCell ref="A31:A32"/>
    <mergeCell ref="A33:A34"/>
    <mergeCell ref="B25:D26"/>
    <mergeCell ref="B27:D28"/>
    <mergeCell ref="B29:D30"/>
    <mergeCell ref="B35:D36"/>
    <mergeCell ref="A35:A36"/>
    <mergeCell ref="E19:J21"/>
    <mergeCell ref="B19:D21"/>
    <mergeCell ref="A8:D8"/>
    <mergeCell ref="A19:A21"/>
    <mergeCell ref="E22:J24"/>
    <mergeCell ref="B22:D24"/>
    <mergeCell ref="A22:A24"/>
    <mergeCell ref="E9:J13"/>
    <mergeCell ref="B9:D13"/>
    <mergeCell ref="A9:A13"/>
    <mergeCell ref="A1:J2"/>
    <mergeCell ref="A3:M7"/>
    <mergeCell ref="E14:J18"/>
    <mergeCell ref="B14:D18"/>
    <mergeCell ref="A14:A18"/>
  </mergeCells>
  <pageMargins left="0.70866141732283472" right="0.70866141732283472" top="0.74803149606299213" bottom="0.74803149606299213" header="0.31496062992125984" footer="0.31496062992125984"/>
  <pageSetup paperSize="9" scale="8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9677-372D-4504-80A3-0A8894BADD69}">
  <sheetPr>
    <tabColor theme="4"/>
    <pageSetUpPr fitToPage="1"/>
  </sheetPr>
  <dimension ref="A1:R61"/>
  <sheetViews>
    <sheetView tabSelected="1" zoomScaleNormal="100" workbookViewId="0">
      <pane ySplit="2" topLeftCell="A3" activePane="bottomLeft" state="frozen"/>
      <selection activeCell="D57" sqref="D57:G62"/>
      <selection pane="bottomLeft" sqref="A1:J2"/>
    </sheetView>
  </sheetViews>
  <sheetFormatPr defaultColWidth="9.59765625" defaultRowHeight="10.5" x14ac:dyDescent="0.15"/>
  <cols>
    <col min="1" max="1" width="9.59765625" style="3" customWidth="1"/>
    <col min="2" max="2" width="21.8984375" style="3" customWidth="1"/>
    <col min="3" max="7" width="10.09765625" style="3" customWidth="1"/>
    <col min="8" max="8" width="11.3984375" style="3" customWidth="1"/>
    <col min="9" max="15" width="10.09765625" style="3" customWidth="1"/>
    <col min="16" max="16384" width="9.59765625" style="3"/>
  </cols>
  <sheetData>
    <row r="1" spans="1:18" s="485" customFormat="1" ht="9.9499999999999993" customHeight="1" x14ac:dyDescent="0.25">
      <c r="A1" s="605" t="str" cm="1">
        <f t="array" aca="1" ref="A1" ca="1">MID(CELL("bestandsnaam",$A$1),FIND("]",CELL("bestandsnaam",$A$1))+1,50)</f>
        <v>1. Samenvatting</v>
      </c>
      <c r="B1" s="605"/>
      <c r="C1" s="605"/>
      <c r="D1" s="605"/>
      <c r="E1" s="605"/>
      <c r="F1" s="605"/>
      <c r="G1" s="605"/>
      <c r="H1" s="605"/>
      <c r="I1" s="605"/>
      <c r="J1" s="605"/>
      <c r="R1" s="493" t="s">
        <v>28</v>
      </c>
    </row>
    <row r="2" spans="1:18" s="485" customFormat="1" ht="9.9499999999999993" customHeight="1" x14ac:dyDescent="0.25">
      <c r="A2" s="605"/>
      <c r="B2" s="605"/>
      <c r="C2" s="605"/>
      <c r="D2" s="605"/>
      <c r="E2" s="605"/>
      <c r="F2" s="605"/>
      <c r="G2" s="605"/>
      <c r="H2" s="605"/>
      <c r="I2" s="605"/>
      <c r="J2" s="605"/>
      <c r="R2" s="493" t="s">
        <v>29</v>
      </c>
    </row>
    <row r="3" spans="1:18" s="82" customFormat="1" ht="9.9499999999999993" customHeight="1" x14ac:dyDescent="0.2">
      <c r="A3" s="632" t="s">
        <v>30</v>
      </c>
      <c r="B3" s="632"/>
      <c r="C3" s="632"/>
      <c r="D3" s="632"/>
      <c r="E3" s="632"/>
      <c r="F3" s="632"/>
      <c r="G3" s="632"/>
      <c r="H3" s="632"/>
      <c r="I3" s="632"/>
      <c r="J3" s="632"/>
      <c r="K3" s="297"/>
      <c r="L3" s="247"/>
      <c r="M3" s="247"/>
      <c r="N3" s="247"/>
    </row>
    <row r="4" spans="1:18" s="82" customFormat="1" ht="9.9499999999999993" customHeight="1" x14ac:dyDescent="0.2">
      <c r="A4" s="632"/>
      <c r="B4" s="632"/>
      <c r="C4" s="632"/>
      <c r="D4" s="632"/>
      <c r="E4" s="632"/>
      <c r="F4" s="632"/>
      <c r="G4" s="632"/>
      <c r="H4" s="632"/>
      <c r="I4" s="632"/>
      <c r="J4" s="632"/>
      <c r="K4" s="297"/>
      <c r="L4" s="247"/>
      <c r="M4" s="247"/>
      <c r="N4" s="247"/>
    </row>
    <row r="5" spans="1:18" s="82" customFormat="1" ht="9.9499999999999993" customHeight="1" x14ac:dyDescent="0.2">
      <c r="A5" s="632"/>
      <c r="B5" s="632"/>
      <c r="C5" s="632"/>
      <c r="D5" s="632"/>
      <c r="E5" s="632"/>
      <c r="F5" s="632"/>
      <c r="G5" s="632"/>
      <c r="H5" s="632"/>
      <c r="I5" s="632"/>
      <c r="J5" s="632"/>
      <c r="K5" s="297"/>
      <c r="L5" s="247"/>
      <c r="M5" s="247"/>
      <c r="N5" s="247"/>
    </row>
    <row r="6" spans="1:18" s="82" customFormat="1" ht="9.9499999999999993" customHeight="1" x14ac:dyDescent="0.2">
      <c r="A6" s="632"/>
      <c r="B6" s="632"/>
      <c r="C6" s="632"/>
      <c r="D6" s="632"/>
      <c r="E6" s="632"/>
      <c r="F6" s="632"/>
      <c r="G6" s="632"/>
      <c r="H6" s="632"/>
      <c r="I6" s="632"/>
      <c r="J6" s="632"/>
      <c r="K6" s="297"/>
      <c r="L6" s="247"/>
      <c r="M6" s="247"/>
      <c r="N6" s="247"/>
    </row>
    <row r="7" spans="1:18" s="82" customFormat="1" ht="9.9499999999999993" customHeight="1" x14ac:dyDescent="0.2">
      <c r="A7" s="246"/>
      <c r="B7" s="246"/>
    </row>
    <row r="8" spans="1:18" s="82" customFormat="1" ht="9.9499999999999993" customHeight="1" x14ac:dyDescent="0.2">
      <c r="A8" s="604" t="s">
        <v>31</v>
      </c>
      <c r="B8" s="299"/>
      <c r="C8" s="300"/>
      <c r="D8" s="300"/>
      <c r="E8" s="300"/>
      <c r="F8" s="298" t="s">
        <v>32</v>
      </c>
      <c r="G8" s="300"/>
      <c r="H8" s="300"/>
      <c r="I8" s="300"/>
      <c r="J8" s="300"/>
      <c r="K8" s="300"/>
      <c r="L8" s="300"/>
      <c r="M8" s="300"/>
      <c r="N8" s="300"/>
    </row>
    <row r="9" spans="1:18" s="82" customFormat="1" ht="9.9499999999999993" customHeight="1" x14ac:dyDescent="0.2">
      <c r="A9" s="633" t="s">
        <v>33</v>
      </c>
      <c r="B9" s="634"/>
      <c r="C9" s="637" t="s">
        <v>28</v>
      </c>
      <c r="D9" s="639" t="s">
        <v>29</v>
      </c>
      <c r="E9" s="300"/>
      <c r="F9" s="641"/>
      <c r="G9" s="643" t="s">
        <v>34</v>
      </c>
      <c r="H9" s="650" t="s">
        <v>16</v>
      </c>
      <c r="I9" s="643" t="s">
        <v>19</v>
      </c>
      <c r="J9" s="643" t="s">
        <v>35</v>
      </c>
      <c r="K9" s="643" t="s">
        <v>21</v>
      </c>
      <c r="L9" s="643" t="s">
        <v>36</v>
      </c>
      <c r="M9" s="643" t="s">
        <v>25</v>
      </c>
      <c r="N9" s="648" t="s">
        <v>27</v>
      </c>
    </row>
    <row r="10" spans="1:18" ht="9.9499999999999993" customHeight="1" x14ac:dyDescent="0.15">
      <c r="A10" s="635"/>
      <c r="B10" s="636"/>
      <c r="C10" s="638"/>
      <c r="D10" s="640"/>
      <c r="E10" s="300"/>
      <c r="F10" s="642"/>
      <c r="G10" s="644"/>
      <c r="H10" s="651"/>
      <c r="I10" s="644"/>
      <c r="J10" s="644"/>
      <c r="K10" s="644"/>
      <c r="L10" s="644"/>
      <c r="M10" s="644"/>
      <c r="N10" s="649"/>
    </row>
    <row r="11" spans="1:18" ht="9.9499999999999993" customHeight="1" x14ac:dyDescent="0.15">
      <c r="A11" s="301" t="s">
        <v>37</v>
      </c>
      <c r="B11" s="302" t="s">
        <v>38</v>
      </c>
      <c r="C11" s="303">
        <f>VLOOKUP(A11,'2. Kostprijs per beheertype'!$A$11:$L$178,11,FALSE)</f>
        <v>0</v>
      </c>
      <c r="D11" s="304">
        <f>VLOOKUP(A11,'2. Kostprijs per beheertype'!$A$11:$L$178,12,FALSE)</f>
        <v>0</v>
      </c>
      <c r="E11" s="300"/>
      <c r="F11" s="645" t="s">
        <v>28</v>
      </c>
      <c r="G11" s="305">
        <v>1</v>
      </c>
      <c r="H11" s="306">
        <f>'5. Vegetatiekartering'!C12</f>
        <v>247.27546479152085</v>
      </c>
      <c r="I11" s="306">
        <f>'6. Plantenkartering'!C9</f>
        <v>92.159399805164711</v>
      </c>
      <c r="J11" s="307">
        <f>'3. Parameters kostprijsmodel'!C40</f>
        <v>0</v>
      </c>
      <c r="K11" s="306">
        <f>'7. Broedvogelkartering'!C9</f>
        <v>50.928209617678966</v>
      </c>
      <c r="L11" s="306">
        <f>'8. Dagvlinders en sprinkhanen'!C9</f>
        <v>44.576062885390066</v>
      </c>
      <c r="M11" s="308">
        <f>'9. Libellenkartering'!C9</f>
        <v>68.232299301925053</v>
      </c>
      <c r="N11" s="309">
        <f>'10. Bosstructuurkartering'!C10</f>
        <v>31.686912341624982</v>
      </c>
    </row>
    <row r="12" spans="1:18" ht="9.9499999999999993" customHeight="1" x14ac:dyDescent="0.15">
      <c r="A12" s="310" t="s">
        <v>39</v>
      </c>
      <c r="B12" s="300" t="s">
        <v>40</v>
      </c>
      <c r="C12" s="311">
        <f>VLOOKUP(A12,'2. Kostprijs per beheertype'!$A$11:$L$178,11,FALSE)</f>
        <v>28.403175244971493</v>
      </c>
      <c r="D12" s="312">
        <f>VLOOKUP(A12,'2. Kostprijs per beheertype'!$A$11:$L$178,12,FALSE)</f>
        <v>30.38746077061252</v>
      </c>
      <c r="E12" s="300"/>
      <c r="F12" s="646"/>
      <c r="G12" s="313">
        <v>2</v>
      </c>
      <c r="H12" s="306">
        <f>'5. Vegetatiekartering'!D12</f>
        <v>124.16799313804943</v>
      </c>
      <c r="I12" s="306">
        <f>'6. Plantenkartering'!D9</f>
        <v>55.738852766567376</v>
      </c>
      <c r="J12" s="314">
        <f>'3. Parameters kostprijsmodel'!D40</f>
        <v>0</v>
      </c>
      <c r="K12" s="306">
        <f>'7. Broedvogelkartering'!D9</f>
        <v>34.542464078783418</v>
      </c>
      <c r="L12" s="306">
        <f>'8. Dagvlinders en sprinkhanen'!D9</f>
        <v>33.653086218723409</v>
      </c>
      <c r="M12" s="315">
        <f>'9. Libellenkartering'!D9</f>
        <v>59.865831385258396</v>
      </c>
      <c r="N12" s="316" t="s">
        <v>41</v>
      </c>
    </row>
    <row r="13" spans="1:18" ht="9.9499999999999993" customHeight="1" x14ac:dyDescent="0.15">
      <c r="A13" s="310" t="s">
        <v>42</v>
      </c>
      <c r="B13" s="300" t="s">
        <v>43</v>
      </c>
      <c r="C13" s="311">
        <f>VLOOKUP(A13,'2. Kostprijs per beheertype'!$A$11:$L$178,11,FALSE)</f>
        <v>25.119078760865637</v>
      </c>
      <c r="D13" s="312">
        <f>VLOOKUP(A13,'2. Kostprijs per beheertype'!$A$11:$L$178,12,FALSE)</f>
        <v>26.732063747835639</v>
      </c>
      <c r="E13" s="300"/>
      <c r="F13" s="646"/>
      <c r="G13" s="313">
        <v>3</v>
      </c>
      <c r="H13" s="306">
        <f>'5. Vegetatiekartering'!E12</f>
        <v>76.345446582624135</v>
      </c>
      <c r="I13" s="306">
        <f>'6. Plantenkartering'!E9</f>
        <v>43.559801600749353</v>
      </c>
      <c r="J13" s="314">
        <f>'3. Parameters kostprijsmodel'!E40</f>
        <v>0</v>
      </c>
      <c r="K13" s="315" t="s">
        <v>41</v>
      </c>
      <c r="L13" s="315" t="s">
        <v>41</v>
      </c>
      <c r="M13" s="315" t="s">
        <v>41</v>
      </c>
      <c r="N13" s="316" t="s">
        <v>41</v>
      </c>
    </row>
    <row r="14" spans="1:18" ht="9.9499999999999993" customHeight="1" x14ac:dyDescent="0.15">
      <c r="A14" s="310" t="s">
        <v>44</v>
      </c>
      <c r="B14" s="300" t="s">
        <v>45</v>
      </c>
      <c r="C14" s="311">
        <f>VLOOKUP(A14,'2. Kostprijs per beheertype'!$A$11:$L$178,11,FALSE)</f>
        <v>22.388121171049711</v>
      </c>
      <c r="D14" s="312">
        <f>VLOOKUP(A14,'2. Kostprijs per beheertype'!$A$11:$L$178,12,FALSE)</f>
        <v>23.846494623328915</v>
      </c>
      <c r="E14" s="300"/>
      <c r="F14" s="646"/>
      <c r="G14" s="313">
        <v>4</v>
      </c>
      <c r="H14" s="306">
        <f>'5. Vegetatiekartering'!F12</f>
        <v>57.515134322024821</v>
      </c>
      <c r="I14" s="315" t="s">
        <v>41</v>
      </c>
      <c r="J14" s="314" t="s">
        <v>41</v>
      </c>
      <c r="K14" s="315" t="s">
        <v>41</v>
      </c>
      <c r="L14" s="315" t="s">
        <v>41</v>
      </c>
      <c r="M14" s="315" t="s">
        <v>41</v>
      </c>
      <c r="N14" s="316" t="s">
        <v>41</v>
      </c>
    </row>
    <row r="15" spans="1:18" ht="9.9499999999999993" customHeight="1" x14ac:dyDescent="0.15">
      <c r="A15" s="310" t="s">
        <v>46</v>
      </c>
      <c r="B15" s="300" t="s">
        <v>47</v>
      </c>
      <c r="C15" s="311">
        <f>VLOOKUP(A15,'2. Kostprijs per beheertype'!$A$11:$L$178,11,FALSE)</f>
        <v>0</v>
      </c>
      <c r="D15" s="312">
        <f>VLOOKUP(A15,'2. Kostprijs per beheertype'!$A$11:$L$178,12,FALSE)</f>
        <v>0</v>
      </c>
      <c r="E15" s="300"/>
      <c r="F15" s="647"/>
      <c r="G15" s="317" t="s">
        <v>41</v>
      </c>
      <c r="H15" s="318" t="s">
        <v>41</v>
      </c>
      <c r="I15" s="318" t="s">
        <v>41</v>
      </c>
      <c r="J15" s="319" t="s">
        <v>41</v>
      </c>
      <c r="K15" s="318" t="s">
        <v>41</v>
      </c>
      <c r="L15" s="318" t="s">
        <v>41</v>
      </c>
      <c r="M15" s="320" t="s">
        <v>41</v>
      </c>
      <c r="N15" s="321" t="s">
        <v>41</v>
      </c>
    </row>
    <row r="16" spans="1:18" ht="9.9499999999999993" customHeight="1" x14ac:dyDescent="0.15">
      <c r="A16" s="310" t="s">
        <v>48</v>
      </c>
      <c r="B16" s="300" t="s">
        <v>49</v>
      </c>
      <c r="C16" s="311">
        <f>VLOOKUP(A16,'2. Kostprijs per beheertype'!$A$11:$L$178,11,FALSE)</f>
        <v>0</v>
      </c>
      <c r="D16" s="312">
        <f>VLOOKUP(A16,'2. Kostprijs per beheertype'!$A$11:$L$178,12,FALSE)</f>
        <v>0</v>
      </c>
      <c r="E16" s="300"/>
      <c r="F16" s="645" t="s">
        <v>29</v>
      </c>
      <c r="G16" s="322">
        <v>1</v>
      </c>
      <c r="H16" s="306">
        <f>'5. Vegetatiekartering'!G12</f>
        <v>247.27546479152085</v>
      </c>
      <c r="I16" s="306">
        <f>'6. Plantenkartering'!F9</f>
        <v>112.82583216627582</v>
      </c>
      <c r="J16" s="314">
        <f>'3. Parameters kostprijsmodel'!C40</f>
        <v>0</v>
      </c>
      <c r="K16" s="306">
        <f>'7. Broedvogelkartering'!E9</f>
        <v>52.877897479669919</v>
      </c>
      <c r="L16" s="306">
        <f>'8. Dagvlinders en sprinkhanen'!E9</f>
        <v>65.801104552056728</v>
      </c>
      <c r="M16" s="308">
        <f>'9. Libellenkartering'!E9</f>
        <v>97.286620730496509</v>
      </c>
      <c r="N16" s="309">
        <f>'10. Bosstructuurkartering'!C10</f>
        <v>31.686912341624982</v>
      </c>
    </row>
    <row r="17" spans="1:14" ht="9.9499999999999993" customHeight="1" x14ac:dyDescent="0.15">
      <c r="A17" s="310" t="s">
        <v>50</v>
      </c>
      <c r="B17" s="300" t="s">
        <v>51</v>
      </c>
      <c r="C17" s="311">
        <f>VLOOKUP(A17,'2. Kostprijs per beheertype'!$A$11:$L$178,11,FALSE)</f>
        <v>0</v>
      </c>
      <c r="D17" s="312">
        <f>VLOOKUP(A17,'2. Kostprijs per beheertype'!$A$11:$L$178,12,FALSE)</f>
        <v>0</v>
      </c>
      <c r="E17" s="300"/>
      <c r="F17" s="646"/>
      <c r="G17" s="323">
        <v>2</v>
      </c>
      <c r="H17" s="306">
        <f>'5. Vegetatiekartering'!H12</f>
        <v>124.16799313804943</v>
      </c>
      <c r="I17" s="306">
        <f>'6. Plantenkartering'!G9</f>
        <v>66.622547266567381</v>
      </c>
      <c r="J17" s="314">
        <f>'3. Parameters kostprijsmodel'!D40</f>
        <v>0</v>
      </c>
      <c r="K17" s="306">
        <f>'7. Broedvogelkartering'!F9</f>
        <v>35.564482732629571</v>
      </c>
      <c r="L17" s="306">
        <f>'8. Dagvlinders en sprinkhanen'!F9</f>
        <v>43.955151218723415</v>
      </c>
      <c r="M17" s="315">
        <f>'9. Libellenkartering'!F9</f>
        <v>82.645301876329853</v>
      </c>
      <c r="N17" s="316" t="s">
        <v>41</v>
      </c>
    </row>
    <row r="18" spans="1:14" ht="9.9499999999999993" customHeight="1" x14ac:dyDescent="0.15">
      <c r="A18" s="310" t="s">
        <v>52</v>
      </c>
      <c r="B18" s="300" t="s">
        <v>53</v>
      </c>
      <c r="C18" s="311">
        <f>VLOOKUP(A18,'2. Kostprijs per beheertype'!$A$11:$L$178,11,FALSE)</f>
        <v>0</v>
      </c>
      <c r="D18" s="312">
        <f>VLOOKUP(A18,'2. Kostprijs per beheertype'!$A$11:$L$178,12,FALSE)</f>
        <v>0</v>
      </c>
      <c r="E18" s="300"/>
      <c r="F18" s="646"/>
      <c r="G18" s="323">
        <v>3</v>
      </c>
      <c r="H18" s="306">
        <f>'5. Vegetatiekartering'!I12</f>
        <v>76.345446582624135</v>
      </c>
      <c r="I18" s="306">
        <f>'6. Plantenkartering'!H9</f>
        <v>51.288023660578418</v>
      </c>
      <c r="J18" s="314">
        <f>'3. Parameters kostprijsmodel'!E40</f>
        <v>0</v>
      </c>
      <c r="K18" s="315" t="s">
        <v>41</v>
      </c>
      <c r="L18" s="315" t="s">
        <v>41</v>
      </c>
      <c r="M18" s="315" t="s">
        <v>41</v>
      </c>
      <c r="N18" s="316" t="s">
        <v>41</v>
      </c>
    </row>
    <row r="19" spans="1:14" ht="9.9499999999999993" customHeight="1" x14ac:dyDescent="0.15">
      <c r="A19" s="310" t="s">
        <v>54</v>
      </c>
      <c r="B19" s="300" t="s">
        <v>55</v>
      </c>
      <c r="C19" s="311">
        <f>VLOOKUP(A19,'2. Kostprijs per beheertype'!$A$11:$L$178,11,FALSE)</f>
        <v>0</v>
      </c>
      <c r="D19" s="312">
        <f>VLOOKUP(A19,'2. Kostprijs per beheertype'!$A$11:$L$178,12,FALSE)</f>
        <v>0</v>
      </c>
      <c r="E19" s="300"/>
      <c r="F19" s="646"/>
      <c r="G19" s="323">
        <v>4</v>
      </c>
      <c r="H19" s="306">
        <f>'5. Vegetatiekartering'!J12</f>
        <v>57.515134322024821</v>
      </c>
      <c r="I19" s="315" t="s">
        <v>41</v>
      </c>
      <c r="J19" s="314" t="s">
        <v>41</v>
      </c>
      <c r="K19" s="315" t="s">
        <v>41</v>
      </c>
      <c r="L19" s="315" t="s">
        <v>41</v>
      </c>
      <c r="M19" s="315" t="s">
        <v>41</v>
      </c>
      <c r="N19" s="316" t="s">
        <v>41</v>
      </c>
    </row>
    <row r="20" spans="1:14" ht="9.9499999999999993" customHeight="1" x14ac:dyDescent="0.15">
      <c r="A20" s="310" t="s">
        <v>56</v>
      </c>
      <c r="B20" s="300" t="s">
        <v>57</v>
      </c>
      <c r="C20" s="311">
        <f>VLOOKUP(A20,'2. Kostprijs per beheertype'!$A$11:$L$178,11,FALSE)</f>
        <v>0</v>
      </c>
      <c r="D20" s="312">
        <f>VLOOKUP(A20,'2. Kostprijs per beheertype'!$A$11:$L$178,12,FALSE)</f>
        <v>0</v>
      </c>
      <c r="E20" s="300"/>
      <c r="F20" s="647"/>
      <c r="G20" s="317" t="s">
        <v>41</v>
      </c>
      <c r="H20" s="324" t="s">
        <v>41</v>
      </c>
      <c r="I20" s="320" t="s">
        <v>41</v>
      </c>
      <c r="J20" s="319" t="s">
        <v>41</v>
      </c>
      <c r="K20" s="318" t="s">
        <v>41</v>
      </c>
      <c r="L20" s="318" t="s">
        <v>41</v>
      </c>
      <c r="M20" s="320" t="s">
        <v>41</v>
      </c>
      <c r="N20" s="321" t="s">
        <v>41</v>
      </c>
    </row>
    <row r="21" spans="1:14" ht="10.5" customHeight="1" x14ac:dyDescent="0.15">
      <c r="A21" s="310" t="s">
        <v>58</v>
      </c>
      <c r="B21" s="300" t="s">
        <v>59</v>
      </c>
      <c r="C21" s="311">
        <f>VLOOKUP(A21,'2. Kostprijs per beheertype'!$A$11:$L$178,11,FALSE)</f>
        <v>0</v>
      </c>
      <c r="D21" s="312">
        <f>VLOOKUP(A21,'2. Kostprijs per beheertype'!$A$11:$L$178,12,FALSE)</f>
        <v>0</v>
      </c>
      <c r="E21" s="300"/>
      <c r="F21" s="653" t="s">
        <v>60</v>
      </c>
      <c r="G21" s="653"/>
      <c r="H21" s="653"/>
      <c r="I21" s="653"/>
      <c r="J21" s="653"/>
      <c r="K21" s="653"/>
      <c r="L21" s="653"/>
      <c r="M21" s="653"/>
      <c r="N21" s="653"/>
    </row>
    <row r="22" spans="1:14" ht="9.9499999999999993" customHeight="1" x14ac:dyDescent="0.15">
      <c r="A22" s="310" t="s">
        <v>61</v>
      </c>
      <c r="B22" s="300" t="s">
        <v>62</v>
      </c>
      <c r="C22" s="311">
        <f>VLOOKUP(A22,'2. Kostprijs per beheertype'!$A$11:$L$178,11,FALSE)</f>
        <v>30.764438637493029</v>
      </c>
      <c r="D22" s="312">
        <f>VLOOKUP(A22,'2. Kostprijs per beheertype'!$A$11:$L$178,12,FALSE)</f>
        <v>36.69991411300343</v>
      </c>
      <c r="E22" s="300"/>
      <c r="F22" s="654"/>
      <c r="G22" s="654"/>
      <c r="H22" s="654"/>
      <c r="I22" s="654"/>
      <c r="J22" s="654"/>
      <c r="K22" s="654"/>
      <c r="L22" s="654"/>
      <c r="M22" s="654"/>
      <c r="N22" s="654"/>
    </row>
    <row r="23" spans="1:14" ht="9.9499999999999993" customHeight="1" x14ac:dyDescent="0.15">
      <c r="A23" s="310" t="s">
        <v>63</v>
      </c>
      <c r="B23" s="300" t="s">
        <v>64</v>
      </c>
      <c r="C23" s="311">
        <f>VLOOKUP(A23,'2. Kostprijs per beheertype'!$A$11:$L$178,11,FALSE)</f>
        <v>47.181862572096705</v>
      </c>
      <c r="D23" s="312">
        <f>VLOOKUP(A23,'2. Kostprijs per beheertype'!$A$11:$L$178,12,FALSE)</f>
        <v>54.747794357792287</v>
      </c>
      <c r="E23" s="300"/>
      <c r="F23" s="300"/>
      <c r="G23" s="300"/>
      <c r="H23" s="300"/>
      <c r="I23" s="300"/>
      <c r="J23" s="300"/>
      <c r="K23" s="300"/>
      <c r="L23" s="300"/>
      <c r="M23" s="300"/>
      <c r="N23" s="300"/>
    </row>
    <row r="24" spans="1:14" ht="9.9499999999999993" customHeight="1" x14ac:dyDescent="0.15">
      <c r="A24" s="310" t="s">
        <v>65</v>
      </c>
      <c r="B24" s="300" t="s">
        <v>66</v>
      </c>
      <c r="C24" s="311">
        <f>VLOOKUP(A24,'2. Kostprijs per beheertype'!$A$11:$L$178,11,FALSE)</f>
        <v>37.204224007886971</v>
      </c>
      <c r="D24" s="312">
        <f>VLOOKUP(A24,'2. Kostprijs per beheertype'!$A$11:$L$178,12,FALSE)</f>
        <v>40.973577378403981</v>
      </c>
      <c r="E24" s="300"/>
      <c r="F24" s="325" t="s">
        <v>67</v>
      </c>
      <c r="G24" s="326"/>
      <c r="H24" s="326"/>
      <c r="I24" s="326"/>
      <c r="J24" s="326"/>
      <c r="K24" s="326"/>
      <c r="L24" s="326"/>
      <c r="M24" s="300"/>
      <c r="N24" s="300"/>
    </row>
    <row r="25" spans="1:14" ht="9.9499999999999993" customHeight="1" x14ac:dyDescent="0.15">
      <c r="A25" s="310" t="s">
        <v>68</v>
      </c>
      <c r="B25" s="300" t="s">
        <v>69</v>
      </c>
      <c r="C25" s="311">
        <f>VLOOKUP(A25,'2. Kostprijs per beheertype'!$A$11:$L$178,11,FALSE)</f>
        <v>46.404488856961436</v>
      </c>
      <c r="D25" s="312">
        <f>VLOOKUP(A25,'2. Kostprijs per beheertype'!$A$11:$L$178,12,FALSE)</f>
        <v>53.386401194924403</v>
      </c>
      <c r="E25" s="300"/>
      <c r="F25" s="327" t="s">
        <v>33</v>
      </c>
      <c r="G25" s="328"/>
      <c r="H25" s="329"/>
      <c r="I25" s="662" t="s">
        <v>70</v>
      </c>
      <c r="J25" s="658" t="s">
        <v>71</v>
      </c>
      <c r="K25" s="660" t="s">
        <v>72</v>
      </c>
      <c r="L25" s="656" t="s">
        <v>73</v>
      </c>
      <c r="M25" s="300"/>
      <c r="N25" s="300"/>
    </row>
    <row r="26" spans="1:14" ht="9.9499999999999993" customHeight="1" x14ac:dyDescent="0.15">
      <c r="A26" s="310" t="s">
        <v>74</v>
      </c>
      <c r="B26" s="300" t="s">
        <v>75</v>
      </c>
      <c r="C26" s="311">
        <f>VLOOKUP(A26,'2. Kostprijs per beheertype'!$A$11:$L$178,11,FALSE)</f>
        <v>38.975145042729764</v>
      </c>
      <c r="D26" s="312">
        <f>VLOOKUP(A26,'2. Kostprijs per beheertype'!$A$11:$L$178,12,FALSE)</f>
        <v>42.419550436248279</v>
      </c>
      <c r="E26" s="300"/>
      <c r="F26" s="330"/>
      <c r="G26" s="331"/>
      <c r="H26" s="332"/>
      <c r="I26" s="663"/>
      <c r="J26" s="659"/>
      <c r="K26" s="661"/>
      <c r="L26" s="657"/>
      <c r="M26" s="300"/>
      <c r="N26" s="300"/>
    </row>
    <row r="27" spans="1:14" ht="9.9499999999999993" customHeight="1" x14ac:dyDescent="0.15">
      <c r="A27" s="310" t="s">
        <v>76</v>
      </c>
      <c r="B27" s="300" t="s">
        <v>77</v>
      </c>
      <c r="C27" s="311">
        <f>VLOOKUP(A27,'2. Kostprijs per beheertype'!$A$11:$L$178,11,FALSE)</f>
        <v>57.440818543219322</v>
      </c>
      <c r="D27" s="312">
        <f>VLOOKUP(A27,'2. Kostprijs per beheertype'!$A$11:$L$178,12,FALSE)</f>
        <v>65.006750328914904</v>
      </c>
      <c r="E27" s="300"/>
      <c r="F27" s="333" t="s">
        <v>76</v>
      </c>
      <c r="G27" s="655" t="str">
        <f>IFERROR(VLOOKUP(F27,$A$11:$B$61,2,FALSE),"")</f>
        <v>Hoogveen</v>
      </c>
      <c r="H27" s="655"/>
      <c r="I27" s="463" t="s">
        <v>28</v>
      </c>
      <c r="J27" s="335">
        <f>IF(I27="SNL",VLOOKUP(F27,$A$11:$D$61,3,FALSE),IF(I27="N2000/RL",VLOOKUP(F27,$A$11:$D$61,4,FALSE),""))</f>
        <v>57.440818543219322</v>
      </c>
      <c r="K27" s="463">
        <v>3</v>
      </c>
      <c r="L27" s="336">
        <f>IFERROR(J27*K27,"")</f>
        <v>172.32245562965795</v>
      </c>
      <c r="M27" s="300"/>
      <c r="N27" s="300"/>
    </row>
    <row r="28" spans="1:14" x14ac:dyDescent="0.15">
      <c r="A28" s="310" t="s">
        <v>78</v>
      </c>
      <c r="B28" s="300" t="s">
        <v>79</v>
      </c>
      <c r="C28" s="311">
        <f>VLOOKUP(A28,'2. Kostprijs per beheertype'!$A$11:$L$178,11,FALSE)</f>
        <v>30.02681073513995</v>
      </c>
      <c r="D28" s="312">
        <f>VLOOKUP(A28,'2. Kostprijs per beheertype'!$A$11:$L$178,12,FALSE)</f>
        <v>33.728107094114314</v>
      </c>
      <c r="E28" s="300"/>
      <c r="F28" s="333" t="s">
        <v>78</v>
      </c>
      <c r="G28" s="652" t="str">
        <f t="shared" ref="G28:G42" si="0">IFERROR(VLOOKUP(F28,$A$11:$B$61,2,FALSE),"")</f>
        <v>Vochtige heide</v>
      </c>
      <c r="H28" s="652"/>
      <c r="I28" s="463" t="s">
        <v>28</v>
      </c>
      <c r="J28" s="335">
        <f t="shared" ref="J28:J42" si="1">IF(I28="SNL",VLOOKUP(F28,$A$11:$D$61,3,FALSE),IF(I28="N2000/RL",VLOOKUP(F28,$A$11:$D$61,4,FALSE),""))</f>
        <v>30.02681073513995</v>
      </c>
      <c r="K28" s="463">
        <v>6</v>
      </c>
      <c r="L28" s="336">
        <f t="shared" ref="L28:L42" si="2">IFERROR(J28*K28,"")</f>
        <v>180.16086441083971</v>
      </c>
      <c r="M28" s="300"/>
      <c r="N28" s="300"/>
    </row>
    <row r="29" spans="1:14" x14ac:dyDescent="0.15">
      <c r="A29" s="310" t="s">
        <v>80</v>
      </c>
      <c r="B29" s="300" t="s">
        <v>81</v>
      </c>
      <c r="C29" s="311">
        <f>VLOOKUP(A29,'2. Kostprijs per beheertype'!$A$11:$L$178,11,FALSE)</f>
        <v>34.018147782161762</v>
      </c>
      <c r="D29" s="312">
        <f>VLOOKUP(A29,'2. Kostprijs per beheertype'!$A$11:$L$178,12,FALSE)</f>
        <v>40.674483770257005</v>
      </c>
      <c r="E29" s="300"/>
      <c r="F29" s="333" t="s">
        <v>82</v>
      </c>
      <c r="G29" s="652" t="str">
        <f t="shared" si="0"/>
        <v>Zuur ven of Hoogveenven</v>
      </c>
      <c r="H29" s="652"/>
      <c r="I29" s="463" t="s">
        <v>28</v>
      </c>
      <c r="J29" s="335">
        <f t="shared" si="1"/>
        <v>44.277103753284379</v>
      </c>
      <c r="K29" s="463">
        <v>8</v>
      </c>
      <c r="L29" s="336">
        <f t="shared" si="2"/>
        <v>354.21683002627503</v>
      </c>
      <c r="M29" s="300"/>
      <c r="N29" s="300"/>
    </row>
    <row r="30" spans="1:14" x14ac:dyDescent="0.15">
      <c r="A30" s="310" t="s">
        <v>82</v>
      </c>
      <c r="B30" s="300" t="s">
        <v>83</v>
      </c>
      <c r="C30" s="311">
        <f>VLOOKUP(A30,'2. Kostprijs per beheertype'!$A$11:$L$178,11,FALSE)</f>
        <v>44.277103753284379</v>
      </c>
      <c r="D30" s="312">
        <f>VLOOKUP(A30,'2. Kostprijs per beheertype'!$A$11:$L$178,12,FALSE)</f>
        <v>50.933439741379622</v>
      </c>
      <c r="E30" s="300"/>
      <c r="F30" s="333" t="s">
        <v>84</v>
      </c>
      <c r="G30" s="652" t="str">
        <f t="shared" si="0"/>
        <v>Droge heide</v>
      </c>
      <c r="H30" s="652"/>
      <c r="I30" s="463" t="s">
        <v>28</v>
      </c>
      <c r="J30" s="335">
        <f t="shared" si="1"/>
        <v>27.996968874170278</v>
      </c>
      <c r="K30" s="463">
        <v>11</v>
      </c>
      <c r="L30" s="336">
        <f t="shared" si="2"/>
        <v>307.96665761587303</v>
      </c>
      <c r="M30" s="300"/>
      <c r="N30" s="300"/>
    </row>
    <row r="31" spans="1:14" x14ac:dyDescent="0.15">
      <c r="A31" s="310" t="s">
        <v>84</v>
      </c>
      <c r="B31" s="300" t="s">
        <v>85</v>
      </c>
      <c r="C31" s="311">
        <f>VLOOKUP(A31,'2. Kostprijs per beheertype'!$A$11:$L$178,11,FALSE)</f>
        <v>27.996968874170278</v>
      </c>
      <c r="D31" s="312">
        <f>VLOOKUP(A31,'2. Kostprijs per beheertype'!$A$11:$L$178,12,FALSE)</f>
        <v>31.172353159782816</v>
      </c>
      <c r="E31" s="300"/>
      <c r="F31" s="333" t="s">
        <v>86</v>
      </c>
      <c r="G31" s="652" t="str">
        <f t="shared" si="0"/>
        <v>Kruiden- en faunarijk grasland</v>
      </c>
      <c r="H31" s="652"/>
      <c r="I31" s="463" t="s">
        <v>28</v>
      </c>
      <c r="J31" s="335">
        <f t="shared" si="1"/>
        <v>15.877770979154366</v>
      </c>
      <c r="K31" s="463">
        <v>14</v>
      </c>
      <c r="L31" s="336">
        <f t="shared" si="2"/>
        <v>222.28879370816114</v>
      </c>
      <c r="M31" s="300"/>
      <c r="N31" s="300"/>
    </row>
    <row r="32" spans="1:14" x14ac:dyDescent="0.15">
      <c r="A32" s="310" t="s">
        <v>87</v>
      </c>
      <c r="B32" s="300" t="s">
        <v>88</v>
      </c>
      <c r="C32" s="311">
        <f>VLOOKUP(A32,'2. Kostprijs per beheertype'!$A$11:$L$178,11,FALSE)</f>
        <v>27.996968874170278</v>
      </c>
      <c r="D32" s="312">
        <f>VLOOKUP(A32,'2. Kostprijs per beheertype'!$A$11:$L$178,12,FALSE)</f>
        <v>31.172353159782816</v>
      </c>
      <c r="E32" s="300"/>
      <c r="F32" s="333" t="s">
        <v>89</v>
      </c>
      <c r="G32" s="652" t="str">
        <f t="shared" si="0"/>
        <v>Dennen-, eiken- en beukenbos</v>
      </c>
      <c r="H32" s="652"/>
      <c r="I32" s="463" t="s">
        <v>28</v>
      </c>
      <c r="J32" s="335">
        <f t="shared" si="1"/>
        <v>17.767550774053262</v>
      </c>
      <c r="K32" s="463">
        <v>28</v>
      </c>
      <c r="L32" s="336">
        <f t="shared" si="2"/>
        <v>497.49142167349135</v>
      </c>
      <c r="M32" s="300"/>
      <c r="N32" s="300"/>
    </row>
    <row r="33" spans="1:14" x14ac:dyDescent="0.15">
      <c r="A33" s="310" t="s">
        <v>90</v>
      </c>
      <c r="B33" s="300" t="s">
        <v>91</v>
      </c>
      <c r="C33" s="311">
        <f>VLOOKUP(A33,'2. Kostprijs per beheertype'!$A$11:$L$178,11,FALSE)</f>
        <v>20.818928482666436</v>
      </c>
      <c r="D33" s="312">
        <f>VLOOKUP(A33,'2. Kostprijs per beheertype'!$A$11:$L$178,12,FALSE)</f>
        <v>22.27730193494564</v>
      </c>
      <c r="E33" s="300"/>
      <c r="F33" s="333"/>
      <c r="G33" s="652" t="str">
        <f t="shared" si="0"/>
        <v/>
      </c>
      <c r="H33" s="652"/>
      <c r="I33" s="463"/>
      <c r="J33" s="335" t="str">
        <f t="shared" si="1"/>
        <v/>
      </c>
      <c r="K33" s="463"/>
      <c r="L33" s="336" t="str">
        <f t="shared" si="2"/>
        <v/>
      </c>
      <c r="M33" s="300"/>
      <c r="N33" s="300"/>
    </row>
    <row r="34" spans="1:14" x14ac:dyDescent="0.15">
      <c r="A34" s="310" t="s">
        <v>92</v>
      </c>
      <c r="B34" s="300" t="s">
        <v>93</v>
      </c>
      <c r="C34" s="311">
        <f>VLOOKUP(A34,'2. Kostprijs per beheertype'!$A$11:$L$178,11,FALSE)</f>
        <v>40.082114121191616</v>
      </c>
      <c r="D34" s="312">
        <f>VLOOKUP(A34,'2. Kostprijs per beheertype'!$A$11:$L$178,12,FALSE)</f>
        <v>45.413866790351157</v>
      </c>
      <c r="E34" s="300"/>
      <c r="F34" s="333"/>
      <c r="G34" s="652" t="str">
        <f t="shared" si="0"/>
        <v/>
      </c>
      <c r="H34" s="652"/>
      <c r="I34" s="463"/>
      <c r="J34" s="335" t="str">
        <f t="shared" si="1"/>
        <v/>
      </c>
      <c r="K34" s="463"/>
      <c r="L34" s="336" t="str">
        <f t="shared" si="2"/>
        <v/>
      </c>
      <c r="M34" s="300"/>
      <c r="N34" s="300"/>
    </row>
    <row r="35" spans="1:14" x14ac:dyDescent="0.15">
      <c r="A35" s="310" t="s">
        <v>94</v>
      </c>
      <c r="B35" s="300" t="s">
        <v>95</v>
      </c>
      <c r="C35" s="311">
        <f>VLOOKUP(A35,'2. Kostprijs per beheertype'!$A$11:$L$178,11,FALSE)</f>
        <v>44.732222389193666</v>
      </c>
      <c r="D35" s="312">
        <f>VLOOKUP(A35,'2. Kostprijs per beheertype'!$A$11:$L$178,12,FALSE)</f>
        <v>48.346964225019875</v>
      </c>
      <c r="E35" s="300"/>
      <c r="F35" s="333"/>
      <c r="G35" s="652" t="str">
        <f t="shared" si="0"/>
        <v/>
      </c>
      <c r="H35" s="652"/>
      <c r="I35" s="463"/>
      <c r="J35" s="335" t="str">
        <f t="shared" si="1"/>
        <v/>
      </c>
      <c r="K35" s="463"/>
      <c r="L35" s="336" t="str">
        <f t="shared" si="2"/>
        <v/>
      </c>
      <c r="M35" s="300"/>
      <c r="N35" s="300"/>
    </row>
    <row r="36" spans="1:14" x14ac:dyDescent="0.15">
      <c r="A36" s="310" t="s">
        <v>96</v>
      </c>
      <c r="B36" s="300" t="s">
        <v>97</v>
      </c>
      <c r="C36" s="311">
        <f>VLOOKUP(A36,'2. Kostprijs per beheertype'!$A$11:$L$178,11,FALSE)</f>
        <v>27.996968874170278</v>
      </c>
      <c r="D36" s="312">
        <f>VLOOKUP(A36,'2. Kostprijs per beheertype'!$A$11:$L$178,12,FALSE)</f>
        <v>31.172353159782816</v>
      </c>
      <c r="E36" s="300"/>
      <c r="F36" s="333"/>
      <c r="G36" s="652" t="str">
        <f t="shared" si="0"/>
        <v/>
      </c>
      <c r="H36" s="652"/>
      <c r="I36" s="463"/>
      <c r="J36" s="335" t="str">
        <f t="shared" si="1"/>
        <v/>
      </c>
      <c r="K36" s="463"/>
      <c r="L36" s="336" t="str">
        <f t="shared" si="2"/>
        <v/>
      </c>
      <c r="M36" s="300"/>
      <c r="N36" s="300"/>
    </row>
    <row r="37" spans="1:14" x14ac:dyDescent="0.15">
      <c r="A37" s="310" t="s">
        <v>98</v>
      </c>
      <c r="B37" s="300" t="s">
        <v>99</v>
      </c>
      <c r="C37" s="311">
        <f>VLOOKUP(A37,'2. Kostprijs per beheertype'!$A$11:$L$178,11,FALSE)</f>
        <v>28.403175244971493</v>
      </c>
      <c r="D37" s="312">
        <f>VLOOKUP(A37,'2. Kostprijs per beheertype'!$A$11:$L$178,12,FALSE)</f>
        <v>30.38746077061252</v>
      </c>
      <c r="E37" s="300"/>
      <c r="F37" s="333"/>
      <c r="G37" s="652" t="str">
        <f t="shared" si="0"/>
        <v/>
      </c>
      <c r="H37" s="652"/>
      <c r="I37" s="463"/>
      <c r="J37" s="335" t="str">
        <f t="shared" si="1"/>
        <v/>
      </c>
      <c r="K37" s="463"/>
      <c r="L37" s="336" t="str">
        <f t="shared" si="2"/>
        <v/>
      </c>
      <c r="M37" s="300"/>
      <c r="N37" s="300"/>
    </row>
    <row r="38" spans="1:14" x14ac:dyDescent="0.15">
      <c r="A38" s="310" t="s">
        <v>100</v>
      </c>
      <c r="B38" s="300" t="s">
        <v>101</v>
      </c>
      <c r="C38" s="311">
        <f>VLOOKUP(A38,'2. Kostprijs per beheertype'!$A$11:$L$178,11,FALSE)</f>
        <v>54.892523793241267</v>
      </c>
      <c r="D38" s="312">
        <f>VLOOKUP(A38,'2. Kostprijs per beheertype'!$A$11:$L$178,12,FALSE)</f>
        <v>62.199384108202722</v>
      </c>
      <c r="E38" s="300"/>
      <c r="F38" s="333"/>
      <c r="G38" s="652" t="str">
        <f t="shared" si="0"/>
        <v/>
      </c>
      <c r="H38" s="652"/>
      <c r="I38" s="463"/>
      <c r="J38" s="335" t="str">
        <f t="shared" si="1"/>
        <v/>
      </c>
      <c r="K38" s="463"/>
      <c r="L38" s="336" t="str">
        <f t="shared" si="2"/>
        <v/>
      </c>
      <c r="M38" s="300"/>
      <c r="N38" s="300"/>
    </row>
    <row r="39" spans="1:14" x14ac:dyDescent="0.15">
      <c r="A39" s="310" t="s">
        <v>102</v>
      </c>
      <c r="B39" s="300" t="s">
        <v>103</v>
      </c>
      <c r="C39" s="311">
        <f>VLOOKUP(A39,'2. Kostprijs per beheertype'!$A$11:$L$178,11,FALSE)</f>
        <v>35.832519059203172</v>
      </c>
      <c r="D39" s="312">
        <f>VLOOKUP(A39,'2. Kostprijs per beheertype'!$A$11:$L$178,12,FALSE)</f>
        <v>41.354311529288644</v>
      </c>
      <c r="E39" s="300"/>
      <c r="F39" s="333"/>
      <c r="G39" s="652" t="str">
        <f t="shared" si="0"/>
        <v/>
      </c>
      <c r="H39" s="652"/>
      <c r="I39" s="463"/>
      <c r="J39" s="335" t="str">
        <f t="shared" si="1"/>
        <v/>
      </c>
      <c r="K39" s="463"/>
      <c r="L39" s="336" t="str">
        <f t="shared" si="2"/>
        <v/>
      </c>
      <c r="M39" s="300"/>
      <c r="N39" s="300"/>
    </row>
    <row r="40" spans="1:14" x14ac:dyDescent="0.15">
      <c r="A40" s="310" t="s">
        <v>104</v>
      </c>
      <c r="B40" s="300" t="s">
        <v>105</v>
      </c>
      <c r="C40" s="311">
        <f>VLOOKUP(A40,'2. Kostprijs per beheertype'!$A$11:$L$178,11,FALSE)</f>
        <v>46.404488856961436</v>
      </c>
      <c r="D40" s="312">
        <f>VLOOKUP(A40,'2. Kostprijs per beheertype'!$A$11:$L$178,12,FALSE)</f>
        <v>53.386401194924403</v>
      </c>
      <c r="E40" s="300"/>
      <c r="F40" s="333"/>
      <c r="G40" s="652" t="str">
        <f t="shared" si="0"/>
        <v/>
      </c>
      <c r="H40" s="652"/>
      <c r="I40" s="463"/>
      <c r="J40" s="335" t="str">
        <f t="shared" si="1"/>
        <v/>
      </c>
      <c r="K40" s="463"/>
      <c r="L40" s="336" t="str">
        <f t="shared" si="2"/>
        <v/>
      </c>
      <c r="M40" s="300"/>
      <c r="N40" s="300"/>
    </row>
    <row r="41" spans="1:14" x14ac:dyDescent="0.15">
      <c r="A41" s="310" t="s">
        <v>106</v>
      </c>
      <c r="B41" s="300" t="s">
        <v>107</v>
      </c>
      <c r="C41" s="311">
        <f>VLOOKUP(A41,'2. Kostprijs per beheertype'!$A$11:$L$178,11,FALSE)</f>
        <v>46.404488856961436</v>
      </c>
      <c r="D41" s="312">
        <f>VLOOKUP(A41,'2. Kostprijs per beheertype'!$A$11:$L$178,12,FALSE)</f>
        <v>53.386401194924403</v>
      </c>
      <c r="E41" s="300"/>
      <c r="F41" s="333"/>
      <c r="G41" s="652" t="str">
        <f t="shared" si="0"/>
        <v/>
      </c>
      <c r="H41" s="652"/>
      <c r="I41" s="463"/>
      <c r="J41" s="335" t="str">
        <f t="shared" si="1"/>
        <v/>
      </c>
      <c r="K41" s="463"/>
      <c r="L41" s="336" t="str">
        <f t="shared" si="2"/>
        <v/>
      </c>
      <c r="M41" s="300"/>
      <c r="N41" s="300"/>
    </row>
    <row r="42" spans="1:14" x14ac:dyDescent="0.15">
      <c r="A42" s="310" t="s">
        <v>108</v>
      </c>
      <c r="B42" s="300" t="s">
        <v>109</v>
      </c>
      <c r="C42" s="311">
        <f>VLOOKUP(A42,'2. Kostprijs per beheertype'!$A$11:$L$178,11,FALSE)</f>
        <v>30.591127984503437</v>
      </c>
      <c r="D42" s="312">
        <f>VLOOKUP(A42,'2. Kostprijs per beheertype'!$A$11:$L$178,12,FALSE)</f>
        <v>37.573040322466397</v>
      </c>
      <c r="E42" s="300"/>
      <c r="F42" s="333"/>
      <c r="G42" s="652" t="str">
        <f t="shared" si="0"/>
        <v/>
      </c>
      <c r="H42" s="652"/>
      <c r="I42" s="463"/>
      <c r="J42" s="335" t="str">
        <f t="shared" si="1"/>
        <v/>
      </c>
      <c r="K42" s="463"/>
      <c r="L42" s="336" t="str">
        <f t="shared" si="2"/>
        <v/>
      </c>
      <c r="M42" s="300"/>
      <c r="N42" s="300"/>
    </row>
    <row r="43" spans="1:14" x14ac:dyDescent="0.15">
      <c r="A43" s="310" t="s">
        <v>86</v>
      </c>
      <c r="B43" s="300" t="s">
        <v>110</v>
      </c>
      <c r="C43" s="311">
        <f>VLOOKUP(A43,'2. Kostprijs per beheertype'!$A$11:$L$178,11,FALSE)</f>
        <v>15.877770979154366</v>
      </c>
      <c r="D43" s="312">
        <f>VLOOKUP(A43,'2. Kostprijs per beheertype'!$A$11:$L$178,12,FALSE)</f>
        <v>18.88281882245921</v>
      </c>
      <c r="E43" s="300"/>
      <c r="F43" s="337"/>
      <c r="G43" s="338"/>
      <c r="H43" s="338"/>
      <c r="I43" s="338"/>
      <c r="J43" s="338"/>
      <c r="K43" s="339" t="s">
        <v>111</v>
      </c>
      <c r="L43" s="340">
        <f>SUM(L27:L42)</f>
        <v>1734.4470230642983</v>
      </c>
      <c r="M43" s="300"/>
      <c r="N43" s="300"/>
    </row>
    <row r="44" spans="1:14" x14ac:dyDescent="0.15">
      <c r="A44" s="310" t="s">
        <v>112</v>
      </c>
      <c r="B44" s="300" t="s">
        <v>113</v>
      </c>
      <c r="C44" s="311">
        <f>VLOOKUP(A44,'2. Kostprijs per beheertype'!$A$11:$L$178,11,FALSE)</f>
        <v>28.254945601628158</v>
      </c>
      <c r="D44" s="312">
        <f>VLOOKUP(A44,'2. Kostprijs per beheertype'!$A$11:$L$178,12,FALSE)</f>
        <v>31.785905518294825</v>
      </c>
      <c r="E44" s="300"/>
      <c r="F44" s="300"/>
      <c r="G44" s="300"/>
      <c r="H44" s="300"/>
      <c r="I44" s="300"/>
      <c r="J44" s="300"/>
      <c r="K44" s="300"/>
      <c r="L44" s="300"/>
      <c r="M44" s="300"/>
      <c r="N44" s="300"/>
    </row>
    <row r="45" spans="1:14" x14ac:dyDescent="0.15">
      <c r="A45" s="310" t="s">
        <v>114</v>
      </c>
      <c r="B45" s="300" t="s">
        <v>115</v>
      </c>
      <c r="C45" s="311">
        <f>VLOOKUP(A45,'2. Kostprijs per beheertype'!$A$11:$L$178,11,FALSE)</f>
        <v>28.403175244971493</v>
      </c>
      <c r="D45" s="312">
        <f>VLOOKUP(A45,'2. Kostprijs per beheertype'!$A$11:$L$178,12,FALSE)</f>
        <v>30.38746077061252</v>
      </c>
      <c r="E45" s="300"/>
      <c r="F45" s="300"/>
      <c r="G45" s="300"/>
      <c r="H45" s="300"/>
      <c r="I45" s="300"/>
      <c r="J45" s="300"/>
      <c r="K45" s="300"/>
      <c r="L45" s="300"/>
      <c r="M45" s="300"/>
      <c r="N45" s="300"/>
    </row>
    <row r="46" spans="1:14" x14ac:dyDescent="0.15">
      <c r="A46" s="310" t="s">
        <v>116</v>
      </c>
      <c r="B46" s="300" t="s">
        <v>117</v>
      </c>
      <c r="C46" s="311">
        <f>VLOOKUP(A46,'2. Kostprijs per beheertype'!$A$11:$L$178,11,FALSE)</f>
        <v>18.055842483467373</v>
      </c>
      <c r="D46" s="312">
        <f>VLOOKUP(A46,'2. Kostprijs per beheertype'!$A$11:$L$178,12,FALSE)</f>
        <v>20.0401280091084</v>
      </c>
      <c r="E46" s="300"/>
      <c r="F46" s="300"/>
      <c r="G46" s="300"/>
      <c r="H46" s="300"/>
      <c r="I46" s="300"/>
      <c r="J46" s="300"/>
      <c r="K46" s="300"/>
      <c r="L46" s="300"/>
      <c r="M46" s="300"/>
      <c r="N46" s="300"/>
    </row>
    <row r="47" spans="1:14" x14ac:dyDescent="0.15">
      <c r="A47" s="310" t="s">
        <v>118</v>
      </c>
      <c r="B47" s="300" t="s">
        <v>119</v>
      </c>
      <c r="C47" s="311">
        <f>VLOOKUP(A47,'2. Kostprijs per beheertype'!$A$11:$L$178,11,FALSE)</f>
        <v>11.496991278855401</v>
      </c>
      <c r="D47" s="312">
        <f>VLOOKUP(A47,'2. Kostprijs per beheertype'!$A$11:$L$178,12,FALSE)</f>
        <v>11.821939255853893</v>
      </c>
      <c r="E47" s="300"/>
      <c r="F47" s="300"/>
      <c r="G47" s="300"/>
      <c r="H47" s="300"/>
      <c r="I47" s="300"/>
      <c r="J47" s="300"/>
      <c r="K47" s="300"/>
      <c r="L47" s="300"/>
      <c r="M47" s="300"/>
      <c r="N47" s="300"/>
    </row>
    <row r="48" spans="1:14" x14ac:dyDescent="0.15">
      <c r="A48" s="310" t="s">
        <v>120</v>
      </c>
      <c r="B48" s="300" t="s">
        <v>121</v>
      </c>
      <c r="C48" s="311">
        <f>VLOOKUP(A48,'2. Kostprijs per beheertype'!$A$11:$L$178,11,FALSE)</f>
        <v>19.985026215135228</v>
      </c>
      <c r="D48" s="312">
        <f>VLOOKUP(A48,'2. Kostprijs per beheertype'!$A$11:$L$178,12,FALSE)</f>
        <v>37.610992041691873</v>
      </c>
      <c r="E48" s="300"/>
      <c r="F48" s="300"/>
      <c r="G48" s="300"/>
      <c r="H48" s="300"/>
      <c r="I48" s="300"/>
      <c r="J48" s="300"/>
      <c r="K48" s="300"/>
      <c r="L48" s="300"/>
      <c r="M48" s="300"/>
      <c r="N48" s="300"/>
    </row>
    <row r="49" spans="1:14" x14ac:dyDescent="0.15">
      <c r="A49" s="310" t="s">
        <v>122</v>
      </c>
      <c r="B49" s="300" t="s">
        <v>123</v>
      </c>
      <c r="C49" s="311">
        <f>VLOOKUP(A49,'2. Kostprijs per beheertype'!$A$11:$L$178,11,FALSE)</f>
        <v>50.103756007478339</v>
      </c>
      <c r="D49" s="312">
        <f>VLOOKUP(A49,'2. Kostprijs per beheertype'!$A$11:$L$178,12,FALSE)</f>
        <v>53.873109377995348</v>
      </c>
      <c r="E49" s="300"/>
      <c r="F49" s="300"/>
      <c r="G49" s="300"/>
      <c r="H49" s="300"/>
      <c r="I49" s="300"/>
      <c r="J49" s="300"/>
      <c r="K49" s="300"/>
      <c r="L49" s="300"/>
      <c r="M49" s="300"/>
      <c r="N49" s="300"/>
    </row>
    <row r="50" spans="1:14" x14ac:dyDescent="0.15">
      <c r="A50" s="310" t="s">
        <v>124</v>
      </c>
      <c r="B50" s="300" t="s">
        <v>125</v>
      </c>
      <c r="C50" s="311">
        <f>VLOOKUP(A50,'2. Kostprijs per beheertype'!$A$11:$L$178,11,FALSE)</f>
        <v>27.148920621835305</v>
      </c>
      <c r="D50" s="312">
        <f>VLOOKUP(A50,'2. Kostprijs per beheertype'!$A$11:$L$178,12,FALSE)</f>
        <v>29.287817682167134</v>
      </c>
      <c r="E50" s="300"/>
      <c r="F50" s="300"/>
      <c r="G50" s="300"/>
      <c r="H50" s="300"/>
      <c r="I50" s="300"/>
      <c r="J50" s="300"/>
      <c r="K50" s="300"/>
      <c r="L50" s="300"/>
      <c r="M50" s="300"/>
      <c r="N50" s="300"/>
    </row>
    <row r="51" spans="1:14" x14ac:dyDescent="0.15">
      <c r="A51" s="310" t="s">
        <v>126</v>
      </c>
      <c r="B51" s="300" t="s">
        <v>127</v>
      </c>
      <c r="C51" s="311">
        <f>VLOOKUP(A51,'2. Kostprijs per beheertype'!$A$11:$L$178,11,FALSE)</f>
        <v>39.844800036355721</v>
      </c>
      <c r="D51" s="312">
        <f>VLOOKUP(A51,'2. Kostprijs per beheertype'!$A$11:$L$178,12,FALSE)</f>
        <v>43.614153406872731</v>
      </c>
    </row>
    <row r="52" spans="1:14" x14ac:dyDescent="0.15">
      <c r="A52" s="310" t="s">
        <v>128</v>
      </c>
      <c r="B52" s="300" t="s">
        <v>129</v>
      </c>
      <c r="C52" s="311">
        <f>VLOOKUP(A52,'2. Kostprijs per beheertype'!$A$11:$L$178,11,FALSE)</f>
        <v>23.427376101752046</v>
      </c>
      <c r="D52" s="312">
        <f>VLOOKUP(A52,'2. Kostprijs per beheertype'!$A$11:$L$178,12,FALSE)</f>
        <v>25.566273162083874</v>
      </c>
    </row>
    <row r="53" spans="1:14" x14ac:dyDescent="0.15">
      <c r="A53" s="310" t="s">
        <v>89</v>
      </c>
      <c r="B53" s="300" t="s">
        <v>130</v>
      </c>
      <c r="C53" s="311">
        <f>VLOOKUP(A53,'2. Kostprijs per beheertype'!$A$11:$L$178,11,FALSE)</f>
        <v>17.767550774053262</v>
      </c>
      <c r="D53" s="312">
        <f>VLOOKUP(A53,'2. Kostprijs per beheertype'!$A$11:$L$178,12,FALSE)</f>
        <v>18.736517256037509</v>
      </c>
    </row>
    <row r="54" spans="1:14" x14ac:dyDescent="0.15">
      <c r="A54" s="310" t="s">
        <v>131</v>
      </c>
      <c r="B54" s="300" t="s">
        <v>132</v>
      </c>
      <c r="C54" s="311">
        <f>VLOOKUP(A54,'2. Kostprijs per beheertype'!$A$11:$L$178,11,FALSE)</f>
        <v>14.137567307324149</v>
      </c>
      <c r="D54" s="312">
        <f>VLOOKUP(A54,'2. Kostprijs per beheertype'!$A$11:$L$178,12,FALSE)</f>
        <v>14.462515284322642</v>
      </c>
    </row>
    <row r="55" spans="1:14" x14ac:dyDescent="0.15">
      <c r="A55" s="310" t="s">
        <v>133</v>
      </c>
      <c r="B55" s="300" t="s">
        <v>134</v>
      </c>
      <c r="C55" s="311">
        <f>VLOOKUP(A55,'2. Kostprijs per beheertype'!$A$11:$L$178,11,FALSE)</f>
        <v>14.137567307324149</v>
      </c>
      <c r="D55" s="312">
        <f>VLOOKUP(A55,'2. Kostprijs per beheertype'!$A$11:$L$178,12,FALSE)</f>
        <v>14.462515284322642</v>
      </c>
    </row>
    <row r="56" spans="1:14" x14ac:dyDescent="0.15">
      <c r="A56" s="310" t="s">
        <v>135</v>
      </c>
      <c r="B56" s="300" t="s">
        <v>136</v>
      </c>
      <c r="C56" s="311">
        <f>VLOOKUP(A56,'2. Kostprijs per beheertype'!$A$11:$L$178,11,FALSE)</f>
        <v>0</v>
      </c>
      <c r="D56" s="312">
        <f>VLOOKUP(A56,'2. Kostprijs per beheertype'!$A$11:$L$178,12,FALSE)</f>
        <v>0</v>
      </c>
    </row>
    <row r="57" spans="1:14" x14ac:dyDescent="0.15">
      <c r="A57" s="310" t="s">
        <v>137</v>
      </c>
      <c r="B57" s="300" t="s">
        <v>138</v>
      </c>
      <c r="C57" s="311">
        <f>VLOOKUP(A57,'2. Kostprijs per beheertype'!$A$11:$L$178,11,FALSE)</f>
        <v>11.496991278855401</v>
      </c>
      <c r="D57" s="312">
        <f>VLOOKUP(A57,'2. Kostprijs per beheertype'!$A$11:$L$178,12,FALSE)</f>
        <v>11.821939255853893</v>
      </c>
    </row>
    <row r="58" spans="1:14" x14ac:dyDescent="0.15">
      <c r="A58" s="310" t="s">
        <v>139</v>
      </c>
      <c r="B58" s="300" t="s">
        <v>140</v>
      </c>
      <c r="C58" s="311">
        <f>VLOOKUP(A58,'2. Kostprijs per beheertype'!$A$11:$L$178,11,FALSE)</f>
        <v>11.496991278855401</v>
      </c>
      <c r="D58" s="312">
        <f>VLOOKUP(A58,'2. Kostprijs per beheertype'!$A$11:$L$178,12,FALSE)</f>
        <v>11.821939255853893</v>
      </c>
    </row>
    <row r="59" spans="1:14" x14ac:dyDescent="0.15">
      <c r="A59" s="310" t="s">
        <v>141</v>
      </c>
      <c r="B59" s="300" t="s">
        <v>142</v>
      </c>
      <c r="C59" s="311">
        <f>VLOOKUP(A59,'2. Kostprijs per beheertype'!$A$11:$L$178,11,FALSE)</f>
        <v>0</v>
      </c>
      <c r="D59" s="312">
        <f>VLOOKUP(A59,'2. Kostprijs per beheertype'!$A$11:$L$178,12,FALSE)</f>
        <v>0</v>
      </c>
    </row>
    <row r="60" spans="1:14" x14ac:dyDescent="0.15">
      <c r="A60" s="310" t="s">
        <v>143</v>
      </c>
      <c r="B60" s="300" t="s">
        <v>144</v>
      </c>
      <c r="C60" s="311">
        <f>VLOOKUP(A60,'2. Kostprijs per beheertype'!$A$11:$L$178,11,FALSE)</f>
        <v>26.856891246382851</v>
      </c>
      <c r="D60" s="312">
        <f>VLOOKUP(A60,'2. Kostprijs per beheertype'!$A$11:$L$178,12,FALSE)</f>
        <v>30.626244616899861</v>
      </c>
    </row>
    <row r="61" spans="1:14" x14ac:dyDescent="0.15">
      <c r="A61" s="341" t="s">
        <v>145</v>
      </c>
      <c r="B61" s="342" t="s">
        <v>146</v>
      </c>
      <c r="C61" s="343">
        <f>VLOOKUP(A61,'2. Kostprijs per beheertype'!$A$11:$L$178,11,FALSE)</f>
        <v>26.856891246382851</v>
      </c>
      <c r="D61" s="344">
        <f>VLOOKUP(A61,'2. Kostprijs per beheertype'!$A$11:$L$178,12,FALSE)</f>
        <v>30.626244616899861</v>
      </c>
    </row>
  </sheetData>
  <mergeCells count="37">
    <mergeCell ref="G34:H34"/>
    <mergeCell ref="F21:N22"/>
    <mergeCell ref="G27:H27"/>
    <mergeCell ref="G28:H28"/>
    <mergeCell ref="G29:H29"/>
    <mergeCell ref="L25:L26"/>
    <mergeCell ref="J25:J26"/>
    <mergeCell ref="K25:K26"/>
    <mergeCell ref="G30:H30"/>
    <mergeCell ref="G31:H31"/>
    <mergeCell ref="G32:H32"/>
    <mergeCell ref="G33:H33"/>
    <mergeCell ref="I25:I26"/>
    <mergeCell ref="G40:H40"/>
    <mergeCell ref="G41:H41"/>
    <mergeCell ref="G42:H42"/>
    <mergeCell ref="G35:H35"/>
    <mergeCell ref="G36:H36"/>
    <mergeCell ref="G37:H37"/>
    <mergeCell ref="G38:H38"/>
    <mergeCell ref="G39:H39"/>
    <mergeCell ref="F11:F15"/>
    <mergeCell ref="F16:F20"/>
    <mergeCell ref="M9:M10"/>
    <mergeCell ref="N9:N10"/>
    <mergeCell ref="L9:L10"/>
    <mergeCell ref="K9:K10"/>
    <mergeCell ref="J9:J10"/>
    <mergeCell ref="H9:H10"/>
    <mergeCell ref="I9:I10"/>
    <mergeCell ref="A3:J6"/>
    <mergeCell ref="A1:J2"/>
    <mergeCell ref="A9:B10"/>
    <mergeCell ref="C9:C10"/>
    <mergeCell ref="D9:D10"/>
    <mergeCell ref="F9:F10"/>
    <mergeCell ref="G9:G10"/>
  </mergeCells>
  <dataValidations count="2">
    <dataValidation type="list" allowBlank="1" showInputMessage="1" showErrorMessage="1" sqref="F27:F42" xr:uid="{26D08499-6078-404A-A772-CDB618A3D426}">
      <formula1>$A$11:$A$61</formula1>
    </dataValidation>
    <dataValidation type="list" allowBlank="1" showInputMessage="1" showErrorMessage="1" sqref="I27:I42" xr:uid="{2C652596-C446-477E-84E8-CA105F6E98C7}">
      <formula1>$R$1:$R$2</formula1>
    </dataValidation>
  </dataValidations>
  <pageMargins left="0.70866141732283472" right="0.70866141732283472" top="0.74803149606299213" bottom="0.74803149606299213" header="0.31496062992125984" footer="0.31496062992125984"/>
  <pageSetup paperSize="9" scale="5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C2BE3-5D82-405F-B9DE-2FA9E56A1220}">
  <sheetPr>
    <tabColor theme="4"/>
    <pageSetUpPr fitToPage="1"/>
  </sheetPr>
  <dimension ref="A1:L233"/>
  <sheetViews>
    <sheetView zoomScaleNormal="100" workbookViewId="0">
      <pane ySplit="10" topLeftCell="A11" activePane="bottomLeft" state="frozen"/>
      <selection activeCell="D57" sqref="D57:G62"/>
      <selection pane="bottomLeft"/>
    </sheetView>
  </sheetViews>
  <sheetFormatPr defaultColWidth="10.59765625" defaultRowHeight="10.5" x14ac:dyDescent="0.2"/>
  <cols>
    <col min="1" max="1" width="10.59765625" style="244" customWidth="1"/>
    <col min="2" max="2" width="26.59765625" style="244" customWidth="1"/>
    <col min="3" max="3" width="17.09765625" style="244" customWidth="1"/>
    <col min="4" max="6" width="10.09765625" style="587" customWidth="1"/>
    <col min="7" max="7" width="10.09765625" style="244" customWidth="1"/>
    <col min="8" max="10" width="10.09765625" style="589" customWidth="1"/>
    <col min="11" max="12" width="10.09765625" style="244" customWidth="1"/>
    <col min="13" max="16384" width="10.59765625" style="244"/>
  </cols>
  <sheetData>
    <row r="1" spans="1:12" s="485" customFormat="1" ht="9.9499999999999993" customHeight="1" x14ac:dyDescent="0.25">
      <c r="A1" s="668" t="str" cm="1">
        <f t="array" aca="1" ref="A1" ca="1">MID(CELL("bestandsnaam",$A$1),FIND("]",CELL("bestandsnaam",$A$1))+1,50)</f>
        <v>2. Kostprijs per beheertype</v>
      </c>
      <c r="B1" s="668"/>
      <c r="C1" s="668"/>
      <c r="D1" s="668"/>
      <c r="E1" s="668"/>
      <c r="F1" s="668"/>
      <c r="G1" s="668"/>
      <c r="H1" s="668"/>
      <c r="I1" s="668"/>
      <c r="J1" s="668"/>
    </row>
    <row r="2" spans="1:12" s="485" customFormat="1" ht="9.9499999999999993" customHeight="1" x14ac:dyDescent="0.25">
      <c r="A2" s="668"/>
      <c r="B2" s="668"/>
      <c r="C2" s="668"/>
      <c r="D2" s="668"/>
      <c r="E2" s="668"/>
      <c r="F2" s="668"/>
      <c r="G2" s="668"/>
      <c r="H2" s="668"/>
      <c r="I2" s="668"/>
      <c r="J2" s="668"/>
    </row>
    <row r="3" spans="1:12" s="82" customFormat="1" ht="9.9499999999999993" customHeight="1" x14ac:dyDescent="0.2">
      <c r="A3" s="606" t="s">
        <v>147</v>
      </c>
      <c r="B3" s="606"/>
      <c r="C3" s="606"/>
      <c r="D3" s="606"/>
      <c r="E3" s="606"/>
      <c r="F3" s="606"/>
      <c r="G3" s="606"/>
      <c r="H3" s="606"/>
      <c r="I3" s="606"/>
      <c r="J3" s="606"/>
      <c r="K3" s="606"/>
      <c r="L3" s="606"/>
    </row>
    <row r="4" spans="1:12" s="82" customFormat="1" ht="9.9499999999999993" customHeight="1" x14ac:dyDescent="0.2">
      <c r="A4" s="606"/>
      <c r="B4" s="606"/>
      <c r="C4" s="606"/>
      <c r="D4" s="606"/>
      <c r="E4" s="606"/>
      <c r="F4" s="606"/>
      <c r="G4" s="606"/>
      <c r="H4" s="606"/>
      <c r="I4" s="606"/>
      <c r="J4" s="606"/>
      <c r="K4" s="606"/>
      <c r="L4" s="606"/>
    </row>
    <row r="5" spans="1:12" s="82" customFormat="1" ht="9.9499999999999993" customHeight="1" x14ac:dyDescent="0.2">
      <c r="A5" s="606"/>
      <c r="B5" s="606"/>
      <c r="C5" s="606"/>
      <c r="D5" s="606"/>
      <c r="E5" s="606"/>
      <c r="F5" s="606"/>
      <c r="G5" s="606"/>
      <c r="H5" s="606"/>
      <c r="I5" s="606"/>
      <c r="J5" s="606"/>
      <c r="K5" s="606"/>
      <c r="L5" s="606"/>
    </row>
    <row r="6" spans="1:12" s="82" customFormat="1" ht="9.9499999999999993" customHeight="1" x14ac:dyDescent="0.2">
      <c r="A6" s="606"/>
      <c r="B6" s="606"/>
      <c r="C6" s="606"/>
      <c r="D6" s="606"/>
      <c r="E6" s="606"/>
      <c r="F6" s="606"/>
      <c r="G6" s="606"/>
      <c r="H6" s="606"/>
      <c r="I6" s="606"/>
      <c r="J6" s="606"/>
      <c r="K6" s="606"/>
      <c r="L6" s="606"/>
    </row>
    <row r="7" spans="1:12" s="350" customFormat="1" ht="9.9499999999999993" customHeight="1" x14ac:dyDescent="0.2">
      <c r="A7" s="345" t="s">
        <v>148</v>
      </c>
      <c r="B7" s="346"/>
      <c r="C7" s="347"/>
      <c r="D7" s="348"/>
      <c r="E7" s="348"/>
      <c r="F7" s="348"/>
      <c r="G7" s="347"/>
      <c r="H7" s="349"/>
      <c r="I7" s="349"/>
      <c r="J7" s="349"/>
      <c r="K7" s="347"/>
      <c r="L7" s="347"/>
    </row>
    <row r="8" spans="1:12" s="350" customFormat="1" ht="9.9499999999999993" customHeight="1" x14ac:dyDescent="0.2">
      <c r="A8" s="351"/>
      <c r="B8" s="351"/>
      <c r="C8" s="669" t="s">
        <v>149</v>
      </c>
      <c r="D8" s="664" t="s">
        <v>150</v>
      </c>
      <c r="E8" s="664" t="s">
        <v>151</v>
      </c>
      <c r="F8" s="664"/>
      <c r="G8" s="672" t="s">
        <v>152</v>
      </c>
      <c r="H8" s="672" t="s">
        <v>153</v>
      </c>
      <c r="I8" s="672"/>
      <c r="J8" s="672" t="s">
        <v>154</v>
      </c>
      <c r="K8" s="664" t="s">
        <v>7</v>
      </c>
      <c r="L8" s="665"/>
    </row>
    <row r="9" spans="1:12" s="350" customFormat="1" ht="9.9499999999999993" customHeight="1" x14ac:dyDescent="0.2">
      <c r="A9" s="351"/>
      <c r="B9" s="351"/>
      <c r="C9" s="670"/>
      <c r="D9" s="675"/>
      <c r="E9" s="666"/>
      <c r="F9" s="666"/>
      <c r="G9" s="673"/>
      <c r="H9" s="674"/>
      <c r="I9" s="674"/>
      <c r="J9" s="673"/>
      <c r="K9" s="666"/>
      <c r="L9" s="667"/>
    </row>
    <row r="10" spans="1:12" s="350" customFormat="1" ht="9.9499999999999993" customHeight="1" x14ac:dyDescent="0.2">
      <c r="A10" s="352"/>
      <c r="B10" s="352"/>
      <c r="C10" s="671"/>
      <c r="D10" s="666"/>
      <c r="E10" s="353" t="s">
        <v>28</v>
      </c>
      <c r="F10" s="353" t="s">
        <v>29</v>
      </c>
      <c r="G10" s="674"/>
      <c r="H10" s="354" t="s">
        <v>28</v>
      </c>
      <c r="I10" s="354" t="s">
        <v>29</v>
      </c>
      <c r="J10" s="674"/>
      <c r="K10" s="354" t="s">
        <v>28</v>
      </c>
      <c r="L10" s="355" t="s">
        <v>29</v>
      </c>
    </row>
    <row r="11" spans="1:12" s="350" customFormat="1" ht="9.9499999999999993" customHeight="1" x14ac:dyDescent="0.2">
      <c r="A11" s="356" t="s">
        <v>37</v>
      </c>
      <c r="B11" s="356" t="s">
        <v>38</v>
      </c>
      <c r="C11" s="357" t="s">
        <v>155</v>
      </c>
      <c r="D11" s="358" t="str">
        <f>IF(C11='4. Beheertypen complexiteit'!$C$6,VLOOKUP('2. Kostprijs per beheertype'!A11,'4. Beheertypen complexiteit'!$A$8:$I$59,3,FALSE),IF(C11='4. Beheertypen complexiteit'!$D$6,VLOOKUP('2. Kostprijs per beheertype'!A11,'4. Beheertypen complexiteit'!$A$8:$I$59,4,FALSE),IF(C11='4. Beheertypen complexiteit'!$E$6,VLOOKUP('2. Kostprijs per beheertype'!A11,'4. Beheertypen complexiteit'!$A$8:$I$59,5,FALSE),IF(C11='4. Beheertypen complexiteit'!$F$6,VLOOKUP('2. Kostprijs per beheertype'!A11,'4. Beheertypen complexiteit'!$A$8:$I$59,6,FALSE),IF(C11='4. Beheertypen complexiteit'!$G$6,VLOOKUP('2. Kostprijs per beheertype'!A11,'4. Beheertypen complexiteit'!$A$8:$I$59,7,FALSE),IF(C11='4. Beheertypen complexiteit'!$H$6,VLOOKUP('2. Kostprijs per beheertype'!A11,'4. Beheertypen complexiteit'!$A$8:$I$59,8,FALSE),IF(C11='4. Beheertypen complexiteit'!$I$6,VLOOKUP('2. Kostprijs per beheertype'!A11,'4. Beheertypen complexiteit'!$A$8:$I$59,9,FALSE),"Nvt")))))))</f>
        <v>Nvt</v>
      </c>
      <c r="E11" s="359" t="str">
        <f>IF(C11='1. Samenvatting'!$H$9,VLOOKUP('2. Kostprijs per beheertype'!D11,'1. Samenvatting'!$G$9:$N$15,2,FALSE),IF(C11='1. Samenvatting'!$I$9,VLOOKUP('2. Kostprijs per beheertype'!D11,'1. Samenvatting'!$G$9:$N$15,3),IF(C11='1. Samenvatting'!$J$9,VLOOKUP('2. Kostprijs per beheertype'!D11,'1. Samenvatting'!$G$9:$N$15,4),IF(C11='1. Samenvatting'!$K$9,VLOOKUP('2. Kostprijs per beheertype'!D11,'1. Samenvatting'!$G$9:$N$15,5),IF(C11='1. Samenvatting'!$L$9,VLOOKUP('2. Kostprijs per beheertype'!D11,'1. Samenvatting'!$G$9:$N$15,6),IF(C11='1. Samenvatting'!$M$9,VLOOKUP('2. Kostprijs per beheertype'!D11,'1. Samenvatting'!$G$9:$N$15,7),IF(C11='1. Samenvatting'!$N$9,VLOOKUP('2. Kostprijs per beheertype'!D11,'1. Samenvatting'!$G$9:$N$15,8),"Nvt")))))))</f>
        <v>Nvt</v>
      </c>
      <c r="F11" s="359" t="str">
        <f>IF(C11='1. Samenvatting'!$H$9,VLOOKUP('2. Kostprijs per beheertype'!D11,'1. Samenvatting'!$G$16:$N$20,2,FALSE),IF(C11='1. Samenvatting'!$I$9,VLOOKUP('2. Kostprijs per beheertype'!D11,'1. Samenvatting'!$G$16:$N$20,3,FALSE),IF(C11='1. Samenvatting'!$J$9,VLOOKUP('2. Kostprijs per beheertype'!D11,'1. Samenvatting'!$G$16:$N$20,4,FALSE),IF(C11='1. Samenvatting'!$K$9,VLOOKUP('2. Kostprijs per beheertype'!D11,'1. Samenvatting'!$G$16:$N$20,5,FALSE),IF(C11='1. Samenvatting'!$L$9,VLOOKUP('2. Kostprijs per beheertype'!D11,'1. Samenvatting'!$G$16:$N$20,6,FALSE),IF(C11='1. Samenvatting'!$M$9,VLOOKUP('2. Kostprijs per beheertype'!D11,'1. Samenvatting'!$G$16:$N$20,7,FALSE),IF(C11='1. Samenvatting'!$N$9,VLOOKUP('2. Kostprijs per beheertype'!D11,'1. Samenvatting'!$G$16:$N$20,8,FALSE),"Nvt")))))))</f>
        <v>Nvt</v>
      </c>
      <c r="G11" s="360">
        <v>6</v>
      </c>
      <c r="H11" s="359">
        <f>IF(E11="Nvt",0,E11/G11)</f>
        <v>0</v>
      </c>
      <c r="I11" s="359">
        <f>IF(F11="Nvt",0,F11/G11)</f>
        <v>0</v>
      </c>
      <c r="J11" s="359">
        <f>'3. Parameters kostprijsmodel'!$F$36</f>
        <v>3.0089563425755728</v>
      </c>
      <c r="K11" s="361">
        <f>H11</f>
        <v>0</v>
      </c>
      <c r="L11" s="362">
        <f>I11</f>
        <v>0</v>
      </c>
    </row>
    <row r="12" spans="1:12" s="350" customFormat="1" ht="9.9499999999999993" customHeight="1" x14ac:dyDescent="0.2">
      <c r="A12" s="363" t="s">
        <v>39</v>
      </c>
      <c r="B12" s="364" t="s">
        <v>40</v>
      </c>
      <c r="C12" s="365" t="s">
        <v>19</v>
      </c>
      <c r="D12" s="366">
        <f>IF(C12='4. Beheertypen complexiteit'!$C$6,VLOOKUP('2. Kostprijs per beheertype'!A12,'4. Beheertypen complexiteit'!$A$8:$I$59,3,FALSE),IF(C12='4. Beheertypen complexiteit'!$D$6,VLOOKUP('2. Kostprijs per beheertype'!A12,'4. Beheertypen complexiteit'!$A$8:$I$59,4,FALSE),IF(C12='4. Beheertypen complexiteit'!$E$6,VLOOKUP('2. Kostprijs per beheertype'!A12,'4. Beheertypen complexiteit'!$A$8:$I$59,5,FALSE),IF(C12='4. Beheertypen complexiteit'!$F$6,VLOOKUP('2. Kostprijs per beheertype'!A12,'4. Beheertypen complexiteit'!$A$8:$I$59,6,FALSE),IF(C12='4. Beheertypen complexiteit'!$G$6,VLOOKUP('2. Kostprijs per beheertype'!A12,'4. Beheertypen complexiteit'!$A$8:$I$59,7,FALSE),IF(C12='4. Beheertypen complexiteit'!$H$6,VLOOKUP('2. Kostprijs per beheertype'!A12,'4. Beheertypen complexiteit'!$A$8:$I$59,8,FALSE),IF(C12='4. Beheertypen complexiteit'!$I$6,VLOOKUP('2. Kostprijs per beheertype'!A12,'4. Beheertypen complexiteit'!$A$8:$I$59,9,FALSE),"Nvt")))))))</f>
        <v>2</v>
      </c>
      <c r="E12" s="367">
        <f>IF(C12='1. Samenvatting'!$H$9,VLOOKUP('2. Kostprijs per beheertype'!D12,'1. Samenvatting'!$G$9:$N$15,2,FALSE),IF(C12='1. Samenvatting'!$I$9,VLOOKUP('2. Kostprijs per beheertype'!D12,'1. Samenvatting'!$G$9:$N$15,3),IF(C12='1. Samenvatting'!$J$9,VLOOKUP('2. Kostprijs per beheertype'!D12,'1. Samenvatting'!$G$9:$N$15,4),IF(C12='1. Samenvatting'!$K$9,VLOOKUP('2. Kostprijs per beheertype'!D12,'1. Samenvatting'!$G$9:$N$15,5),IF(C12='1. Samenvatting'!$L$9,VLOOKUP('2. Kostprijs per beheertype'!D12,'1. Samenvatting'!$G$9:$N$15,6),IF(C12='1. Samenvatting'!$M$9,VLOOKUP('2. Kostprijs per beheertype'!D12,'1. Samenvatting'!$G$9:$N$15,7),IF(C12='1. Samenvatting'!$N$9,VLOOKUP('2. Kostprijs per beheertype'!D12,'1. Samenvatting'!$G$9:$N$15,8),"Nvt")))))))</f>
        <v>55.738852766567376</v>
      </c>
      <c r="F12" s="367">
        <f>IF(C12='1. Samenvatting'!$H$9,VLOOKUP('2. Kostprijs per beheertype'!D12,'1. Samenvatting'!$G$16:$N$20,2,FALSE),IF(C12='1. Samenvatting'!$I$9,VLOOKUP('2. Kostprijs per beheertype'!D12,'1. Samenvatting'!$G$16:$N$20,3,FALSE),IF(C12='1. Samenvatting'!$J$9,VLOOKUP('2. Kostprijs per beheertype'!D12,'1. Samenvatting'!$G$16:$N$20,4,FALSE),IF(C12='1. Samenvatting'!$K$9,VLOOKUP('2. Kostprijs per beheertype'!D12,'1. Samenvatting'!$G$16:$N$20,5,FALSE),IF(C12='1. Samenvatting'!$L$9,VLOOKUP('2. Kostprijs per beheertype'!D12,'1. Samenvatting'!$G$16:$N$20,6,FALSE),IF(C12='1. Samenvatting'!$M$9,VLOOKUP('2. Kostprijs per beheertype'!D12,'1. Samenvatting'!$G$16:$N$20,7,FALSE),IF(C12='1. Samenvatting'!$N$9,VLOOKUP('2. Kostprijs per beheertype'!D12,'1. Samenvatting'!$G$16:$N$20,8,FALSE),"Nvt")))))))</f>
        <v>66.622547266567381</v>
      </c>
      <c r="G12" s="368">
        <v>6</v>
      </c>
      <c r="H12" s="367">
        <f t="shared" ref="H12:H75" si="0">IF(E12="Nvt",0,E12/G12)</f>
        <v>9.2898087944278966</v>
      </c>
      <c r="I12" s="367">
        <f t="shared" ref="I12:I75" si="1">IF(F12="Nvt",0,F12/G12)</f>
        <v>11.103757877761231</v>
      </c>
      <c r="J12" s="367">
        <f>'3. Parameters kostprijsmodel'!$F$36</f>
        <v>3.0089563425755728</v>
      </c>
      <c r="K12" s="361">
        <f>SUM(H12:H15)+$J$12</f>
        <v>28.403175244971493</v>
      </c>
      <c r="L12" s="362">
        <f>SUM(I12:I15)+J12</f>
        <v>30.38746077061252</v>
      </c>
    </row>
    <row r="13" spans="1:12" s="350" customFormat="1" ht="9.9499999999999993" customHeight="1" x14ac:dyDescent="0.2">
      <c r="A13" s="369" t="s">
        <v>39</v>
      </c>
      <c r="B13" s="370" t="s">
        <v>40</v>
      </c>
      <c r="C13" s="371" t="s">
        <v>21</v>
      </c>
      <c r="D13" s="372">
        <f>IF(C13='4. Beheertypen complexiteit'!$C$6,VLOOKUP('2. Kostprijs per beheertype'!A13,'4. Beheertypen complexiteit'!$A$8:$I$59,3,FALSE),IF(C13='4. Beheertypen complexiteit'!$D$6,VLOOKUP('2. Kostprijs per beheertype'!A13,'4. Beheertypen complexiteit'!$A$8:$I$59,4,FALSE),IF(C13='4. Beheertypen complexiteit'!$E$6,VLOOKUP('2. Kostprijs per beheertype'!A13,'4. Beheertypen complexiteit'!$A$8:$I$59,5,FALSE),IF(C13='4. Beheertypen complexiteit'!$F$6,VLOOKUP('2. Kostprijs per beheertype'!A13,'4. Beheertypen complexiteit'!$A$8:$I$59,6,FALSE),IF(C13='4. Beheertypen complexiteit'!$G$6,VLOOKUP('2. Kostprijs per beheertype'!A13,'4. Beheertypen complexiteit'!$A$8:$I$59,7,FALSE),IF(C13='4. Beheertypen complexiteit'!$H$6,VLOOKUP('2. Kostprijs per beheertype'!A13,'4. Beheertypen complexiteit'!$A$8:$I$59,8,FALSE),IF(C13='4. Beheertypen complexiteit'!$I$6,VLOOKUP('2. Kostprijs per beheertype'!A13,'4. Beheertypen complexiteit'!$A$8:$I$59,9,FALSE),"Nvt")))))))</f>
        <v>2</v>
      </c>
      <c r="E13" s="373">
        <f>IF(C13='1. Samenvatting'!$H$9,VLOOKUP('2. Kostprijs per beheertype'!D13,'1. Samenvatting'!$G$9:$N$15,2,FALSE),IF(C13='1. Samenvatting'!$I$9,VLOOKUP('2. Kostprijs per beheertype'!D13,'1. Samenvatting'!$G$9:$N$15,3),IF(C13='1. Samenvatting'!$J$9,VLOOKUP('2. Kostprijs per beheertype'!D13,'1. Samenvatting'!$G$9:$N$15,4),IF(C13='1. Samenvatting'!$K$9,VLOOKUP('2. Kostprijs per beheertype'!D13,'1. Samenvatting'!$G$9:$N$15,5),IF(C13='1. Samenvatting'!$L$9,VLOOKUP('2. Kostprijs per beheertype'!D13,'1. Samenvatting'!$G$9:$N$15,6),IF(C13='1. Samenvatting'!$M$9,VLOOKUP('2. Kostprijs per beheertype'!D13,'1. Samenvatting'!$G$9:$N$15,7),IF(C13='1. Samenvatting'!$N$9,VLOOKUP('2. Kostprijs per beheertype'!D13,'1. Samenvatting'!$G$9:$N$15,8),"Nvt")))))))</f>
        <v>34.542464078783418</v>
      </c>
      <c r="F13" s="373">
        <f>IF(C13='1. Samenvatting'!$H$9,VLOOKUP('2. Kostprijs per beheertype'!D13,'1. Samenvatting'!$G$16:$N$20,2,FALSE),IF(C13='1. Samenvatting'!$I$9,VLOOKUP('2. Kostprijs per beheertype'!D13,'1. Samenvatting'!$G$16:$N$20,3,FALSE),IF(C13='1. Samenvatting'!$J$9,VLOOKUP('2. Kostprijs per beheertype'!D13,'1. Samenvatting'!$G$16:$N$20,4,FALSE),IF(C13='1. Samenvatting'!$K$9,VLOOKUP('2. Kostprijs per beheertype'!D13,'1. Samenvatting'!$G$16:$N$20,5,FALSE),IF(C13='1. Samenvatting'!$L$9,VLOOKUP('2. Kostprijs per beheertype'!D13,'1. Samenvatting'!$G$16:$N$20,6,FALSE),IF(C13='1. Samenvatting'!$M$9,VLOOKUP('2. Kostprijs per beheertype'!D13,'1. Samenvatting'!$G$16:$N$20,7,FALSE),IF(C13='1. Samenvatting'!$N$9,VLOOKUP('2. Kostprijs per beheertype'!D13,'1. Samenvatting'!$G$16:$N$20,8,FALSE),"Nvt")))))))</f>
        <v>35.564482732629571</v>
      </c>
      <c r="G13" s="374">
        <v>6</v>
      </c>
      <c r="H13" s="373">
        <f t="shared" si="0"/>
        <v>5.7570773464639027</v>
      </c>
      <c r="I13" s="373">
        <f t="shared" si="1"/>
        <v>5.9274137887715952</v>
      </c>
      <c r="J13" s="373"/>
      <c r="K13" s="375"/>
      <c r="L13" s="376"/>
    </row>
    <row r="14" spans="1:12" s="350" customFormat="1" ht="9.9499999999999993" customHeight="1" x14ac:dyDescent="0.2">
      <c r="A14" s="369" t="s">
        <v>39</v>
      </c>
      <c r="B14" s="370" t="s">
        <v>40</v>
      </c>
      <c r="C14" s="371" t="s">
        <v>155</v>
      </c>
      <c r="D14" s="372" t="str">
        <f>IF(C14='4. Beheertypen complexiteit'!$C$6,VLOOKUP('2. Kostprijs per beheertype'!A14,'4. Beheertypen complexiteit'!$A$8:$I$59,3,FALSE),IF(C14='4. Beheertypen complexiteit'!$D$6,VLOOKUP('2. Kostprijs per beheertype'!A14,'4. Beheertypen complexiteit'!$A$8:$I$59,4,FALSE),IF(C14='4. Beheertypen complexiteit'!$E$6,VLOOKUP('2. Kostprijs per beheertype'!A14,'4. Beheertypen complexiteit'!$A$8:$I$59,5,FALSE),IF(C14='4. Beheertypen complexiteit'!$F$6,VLOOKUP('2. Kostprijs per beheertype'!A14,'4. Beheertypen complexiteit'!$A$8:$I$59,6,FALSE),IF(C14='4. Beheertypen complexiteit'!$G$6,VLOOKUP('2. Kostprijs per beheertype'!A14,'4. Beheertypen complexiteit'!$A$8:$I$59,7,FALSE),IF(C14='4. Beheertypen complexiteit'!$H$6,VLOOKUP('2. Kostprijs per beheertype'!A14,'4. Beheertypen complexiteit'!$A$8:$I$59,8,FALSE),IF(C14='4. Beheertypen complexiteit'!$I$6,VLOOKUP('2. Kostprijs per beheertype'!A14,'4. Beheertypen complexiteit'!$A$8:$I$59,9,FALSE),"Nvt")))))))</f>
        <v>Nvt</v>
      </c>
      <c r="E14" s="373" t="str">
        <f>IF(C14='1. Samenvatting'!$H$9,VLOOKUP('2. Kostprijs per beheertype'!D14,'1. Samenvatting'!$G$9:$N$15,2,FALSE),IF(C14='1. Samenvatting'!$I$9,VLOOKUP('2. Kostprijs per beheertype'!D14,'1. Samenvatting'!$G$9:$N$15,3),IF(C14='1. Samenvatting'!$J$9,VLOOKUP('2. Kostprijs per beheertype'!D14,'1. Samenvatting'!$G$9:$N$15,4),IF(C14='1. Samenvatting'!$K$9,VLOOKUP('2. Kostprijs per beheertype'!D14,'1. Samenvatting'!$G$9:$N$15,5),IF(C14='1. Samenvatting'!$L$9,VLOOKUP('2. Kostprijs per beheertype'!D14,'1. Samenvatting'!$G$9:$N$15,6),IF(C14='1. Samenvatting'!$M$9,VLOOKUP('2. Kostprijs per beheertype'!D14,'1. Samenvatting'!$G$9:$N$15,7),IF(C14='1. Samenvatting'!$N$9,VLOOKUP('2. Kostprijs per beheertype'!D14,'1. Samenvatting'!$G$9:$N$15,8),"Nvt")))))))</f>
        <v>Nvt</v>
      </c>
      <c r="F14" s="373" t="str">
        <f>IF(C14='1. Samenvatting'!$H$9,VLOOKUP('2. Kostprijs per beheertype'!D14,'1. Samenvatting'!$G$16:$N$20,2,FALSE),IF(C14='1. Samenvatting'!$I$9,VLOOKUP('2. Kostprijs per beheertype'!D14,'1. Samenvatting'!$G$16:$N$20,3,FALSE),IF(C14='1. Samenvatting'!$J$9,VLOOKUP('2. Kostprijs per beheertype'!D14,'1. Samenvatting'!$G$16:$N$20,4,FALSE),IF(C14='1. Samenvatting'!$K$9,VLOOKUP('2. Kostprijs per beheertype'!D14,'1. Samenvatting'!$G$16:$N$20,5,FALSE),IF(C14='1. Samenvatting'!$L$9,VLOOKUP('2. Kostprijs per beheertype'!D14,'1. Samenvatting'!$G$16:$N$20,6,FALSE),IF(C14='1. Samenvatting'!$M$9,VLOOKUP('2. Kostprijs per beheertype'!D14,'1. Samenvatting'!$G$16:$N$20,7,FALSE),IF(C14='1. Samenvatting'!$N$9,VLOOKUP('2. Kostprijs per beheertype'!D14,'1. Samenvatting'!$G$16:$N$20,8,FALSE),"Nvt")))))))</f>
        <v>Nvt</v>
      </c>
      <c r="G14" s="374">
        <v>6</v>
      </c>
      <c r="H14" s="373">
        <f t="shared" si="0"/>
        <v>0</v>
      </c>
      <c r="I14" s="373">
        <f t="shared" si="1"/>
        <v>0</v>
      </c>
      <c r="J14" s="373"/>
      <c r="K14" s="375"/>
      <c r="L14" s="376"/>
    </row>
    <row r="15" spans="1:12" s="350" customFormat="1" ht="9.9499999999999993" customHeight="1" x14ac:dyDescent="0.2">
      <c r="A15" s="377" t="s">
        <v>39</v>
      </c>
      <c r="B15" s="378" t="s">
        <v>40</v>
      </c>
      <c r="C15" s="379" t="s">
        <v>16</v>
      </c>
      <c r="D15" s="380">
        <f>IF(C15='4. Beheertypen complexiteit'!$C$6,VLOOKUP('2. Kostprijs per beheertype'!A15,'4. Beheertypen complexiteit'!$A$8:$I$59,3,FALSE),IF(C15='4. Beheertypen complexiteit'!$D$6,VLOOKUP('2. Kostprijs per beheertype'!A15,'4. Beheertypen complexiteit'!$A$8:$I$59,4,FALSE),IF(C15='4. Beheertypen complexiteit'!$E$6,VLOOKUP('2. Kostprijs per beheertype'!A15,'4. Beheertypen complexiteit'!$A$8:$I$59,5,FALSE),IF(C15='4. Beheertypen complexiteit'!$F$6,VLOOKUP('2. Kostprijs per beheertype'!A15,'4. Beheertypen complexiteit'!$A$8:$I$59,6,FALSE),IF(C15='4. Beheertypen complexiteit'!$G$6,VLOOKUP('2. Kostprijs per beheertype'!A15,'4. Beheertypen complexiteit'!$A$8:$I$59,7,FALSE),IF(C15='4. Beheertypen complexiteit'!$H$6,VLOOKUP('2. Kostprijs per beheertype'!A15,'4. Beheertypen complexiteit'!$A$8:$I$59,8,FALSE),IF(C15='4. Beheertypen complexiteit'!$I$6,VLOOKUP('2. Kostprijs per beheertype'!A15,'4. Beheertypen complexiteit'!$A$8:$I$59,9,FALSE),"Nvt")))))))</f>
        <v>2</v>
      </c>
      <c r="E15" s="381">
        <f>IF(C15='1. Samenvatting'!$H$9,VLOOKUP('2. Kostprijs per beheertype'!D15,'1. Samenvatting'!$G$9:$N$15,2,FALSE),IF(C15='1. Samenvatting'!$I$9,VLOOKUP('2. Kostprijs per beheertype'!D15,'1. Samenvatting'!$G$9:$N$15,3),IF(C15='1. Samenvatting'!$J$9,VLOOKUP('2. Kostprijs per beheertype'!D15,'1. Samenvatting'!$G$9:$N$15,4),IF(C15='1. Samenvatting'!$K$9,VLOOKUP('2. Kostprijs per beheertype'!D15,'1. Samenvatting'!$G$9:$N$15,5),IF(C15='1. Samenvatting'!$L$9,VLOOKUP('2. Kostprijs per beheertype'!D15,'1. Samenvatting'!$G$9:$N$15,6),IF(C15='1. Samenvatting'!$M$9,VLOOKUP('2. Kostprijs per beheertype'!D15,'1. Samenvatting'!$G$9:$N$15,7),IF(C15='1. Samenvatting'!$N$9,VLOOKUP('2. Kostprijs per beheertype'!D15,'1. Samenvatting'!$G$9:$N$15,8),"Nvt")))))))</f>
        <v>124.16799313804943</v>
      </c>
      <c r="F15" s="381">
        <f>IF(C15='1. Samenvatting'!$H$9,VLOOKUP('2. Kostprijs per beheertype'!D15,'1. Samenvatting'!$G$16:$N$20,2,FALSE),IF(C15='1. Samenvatting'!$I$9,VLOOKUP('2. Kostprijs per beheertype'!D15,'1. Samenvatting'!$G$16:$N$20,3,FALSE),IF(C15='1. Samenvatting'!$J$9,VLOOKUP('2. Kostprijs per beheertype'!D15,'1. Samenvatting'!$G$16:$N$20,4,FALSE),IF(C15='1. Samenvatting'!$K$9,VLOOKUP('2. Kostprijs per beheertype'!D15,'1. Samenvatting'!$G$16:$N$20,5,FALSE),IF(C15='1. Samenvatting'!$L$9,VLOOKUP('2. Kostprijs per beheertype'!D15,'1. Samenvatting'!$G$16:$N$20,6,FALSE),IF(C15='1. Samenvatting'!$M$9,VLOOKUP('2. Kostprijs per beheertype'!D15,'1. Samenvatting'!$G$16:$N$20,7,FALSE),IF(C15='1. Samenvatting'!$N$9,VLOOKUP('2. Kostprijs per beheertype'!D15,'1. Samenvatting'!$G$16:$N$20,8,FALSE),"Nvt")))))))</f>
        <v>124.16799313804943</v>
      </c>
      <c r="G15" s="382">
        <v>12</v>
      </c>
      <c r="H15" s="381">
        <f t="shared" si="0"/>
        <v>10.347332761504118</v>
      </c>
      <c r="I15" s="381">
        <f t="shared" si="1"/>
        <v>10.347332761504118</v>
      </c>
      <c r="J15" s="381"/>
      <c r="K15" s="383"/>
      <c r="L15" s="384"/>
    </row>
    <row r="16" spans="1:12" s="350" customFormat="1" ht="9.9499999999999993" customHeight="1" x14ac:dyDescent="0.2">
      <c r="A16" s="385" t="s">
        <v>42</v>
      </c>
      <c r="B16" s="385" t="s">
        <v>43</v>
      </c>
      <c r="C16" s="365" t="s">
        <v>19</v>
      </c>
      <c r="D16" s="366">
        <f>IF(C16='4. Beheertypen complexiteit'!$C$6,VLOOKUP('2. Kostprijs per beheertype'!A16,'4. Beheertypen complexiteit'!$A$8:$I$59,3,FALSE),IF(C16='4. Beheertypen complexiteit'!$D$6,VLOOKUP('2. Kostprijs per beheertype'!A16,'4. Beheertypen complexiteit'!$A$8:$I$59,4,FALSE),IF(C16='4. Beheertypen complexiteit'!$E$6,VLOOKUP('2. Kostprijs per beheertype'!A16,'4. Beheertypen complexiteit'!$A$8:$I$59,5,FALSE),IF(C16='4. Beheertypen complexiteit'!$F$6,VLOOKUP('2. Kostprijs per beheertype'!A16,'4. Beheertypen complexiteit'!$A$8:$I$59,6,FALSE),IF(C16='4. Beheertypen complexiteit'!$G$6,VLOOKUP('2. Kostprijs per beheertype'!A16,'4. Beheertypen complexiteit'!$A$8:$I$59,7,FALSE),IF(C16='4. Beheertypen complexiteit'!$H$6,VLOOKUP('2. Kostprijs per beheertype'!A16,'4. Beheertypen complexiteit'!$A$8:$I$59,8,FALSE),IF(C16='4. Beheertypen complexiteit'!$I$6,VLOOKUP('2. Kostprijs per beheertype'!A16,'4. Beheertypen complexiteit'!$A$8:$I$59,9,FALSE),"Nvt")))))))</f>
        <v>3</v>
      </c>
      <c r="E16" s="367">
        <f>IF(C16='1. Samenvatting'!$H$9,VLOOKUP('2. Kostprijs per beheertype'!D16,'1. Samenvatting'!$G$9:$N$15,2,FALSE),IF(C16='1. Samenvatting'!$I$9,VLOOKUP('2. Kostprijs per beheertype'!D16,'1. Samenvatting'!$G$9:$N$15,3),IF(C16='1. Samenvatting'!$J$9,VLOOKUP('2. Kostprijs per beheertype'!D16,'1. Samenvatting'!$G$9:$N$15,4),IF(C16='1. Samenvatting'!$K$9,VLOOKUP('2. Kostprijs per beheertype'!D16,'1. Samenvatting'!$G$9:$N$15,5),IF(C16='1. Samenvatting'!$L$9,VLOOKUP('2. Kostprijs per beheertype'!D16,'1. Samenvatting'!$G$9:$N$15,6),IF(C16='1. Samenvatting'!$M$9,VLOOKUP('2. Kostprijs per beheertype'!D16,'1. Samenvatting'!$G$9:$N$15,7),IF(C16='1. Samenvatting'!$N$9,VLOOKUP('2. Kostprijs per beheertype'!D16,'1. Samenvatting'!$G$9:$N$15,8),"Nvt")))))))</f>
        <v>43.559801600749353</v>
      </c>
      <c r="F16" s="367">
        <f>IF(C16='1. Samenvatting'!$H$9,VLOOKUP('2. Kostprijs per beheertype'!D16,'1. Samenvatting'!$G$16:$N$20,2,FALSE),IF(C16='1. Samenvatting'!$I$9,VLOOKUP('2. Kostprijs per beheertype'!D16,'1. Samenvatting'!$G$16:$N$20,3,FALSE),IF(C16='1. Samenvatting'!$J$9,VLOOKUP('2. Kostprijs per beheertype'!D16,'1. Samenvatting'!$G$16:$N$20,4,FALSE),IF(C16='1. Samenvatting'!$K$9,VLOOKUP('2. Kostprijs per beheertype'!D16,'1. Samenvatting'!$G$16:$N$20,5,FALSE),IF(C16='1. Samenvatting'!$L$9,VLOOKUP('2. Kostprijs per beheertype'!D16,'1. Samenvatting'!$G$16:$N$20,6,FALSE),IF(C16='1. Samenvatting'!$M$9,VLOOKUP('2. Kostprijs per beheertype'!D16,'1. Samenvatting'!$G$16:$N$20,7,FALSE),IF(C16='1. Samenvatting'!$N$9,VLOOKUP('2. Kostprijs per beheertype'!D16,'1. Samenvatting'!$G$16:$N$20,8,FALSE),"Nvt")))))))</f>
        <v>51.288023660578418</v>
      </c>
      <c r="G16" s="368">
        <v>6</v>
      </c>
      <c r="H16" s="367">
        <f t="shared" si="0"/>
        <v>7.2599669334582257</v>
      </c>
      <c r="I16" s="367">
        <f t="shared" si="1"/>
        <v>8.5480039434297357</v>
      </c>
      <c r="J16" s="367">
        <f>'3. Parameters kostprijsmodel'!$F$36</f>
        <v>3.0089563425755728</v>
      </c>
      <c r="K16" s="361">
        <f>SUM(H16:H19)+J16</f>
        <v>25.119078760865637</v>
      </c>
      <c r="L16" s="362">
        <f>SUM(I16:I19)+J16</f>
        <v>26.732063747835639</v>
      </c>
    </row>
    <row r="17" spans="1:12" s="350" customFormat="1" ht="9.9499999999999993" customHeight="1" x14ac:dyDescent="0.2">
      <c r="A17" s="370" t="s">
        <v>42</v>
      </c>
      <c r="B17" s="370" t="s">
        <v>43</v>
      </c>
      <c r="C17" s="371" t="s">
        <v>21</v>
      </c>
      <c r="D17" s="372">
        <f>IF(C17='4. Beheertypen complexiteit'!$C$6,VLOOKUP('2. Kostprijs per beheertype'!A17,'4. Beheertypen complexiteit'!$A$8:$I$59,3,FALSE),IF(C17='4. Beheertypen complexiteit'!$D$6,VLOOKUP('2. Kostprijs per beheertype'!A17,'4. Beheertypen complexiteit'!$A$8:$I$59,4,FALSE),IF(C17='4. Beheertypen complexiteit'!$E$6,VLOOKUP('2. Kostprijs per beheertype'!A17,'4. Beheertypen complexiteit'!$A$8:$I$59,5,FALSE),IF(C17='4. Beheertypen complexiteit'!$F$6,VLOOKUP('2. Kostprijs per beheertype'!A17,'4. Beheertypen complexiteit'!$A$8:$I$59,6,FALSE),IF(C17='4. Beheertypen complexiteit'!$G$6,VLOOKUP('2. Kostprijs per beheertype'!A17,'4. Beheertypen complexiteit'!$A$8:$I$59,7,FALSE),IF(C17='4. Beheertypen complexiteit'!$H$6,VLOOKUP('2. Kostprijs per beheertype'!A17,'4. Beheertypen complexiteit'!$A$8:$I$59,8,FALSE),IF(C17='4. Beheertypen complexiteit'!$I$6,VLOOKUP('2. Kostprijs per beheertype'!A17,'4. Beheertypen complexiteit'!$A$8:$I$59,9,FALSE),"Nvt")))))))</f>
        <v>1</v>
      </c>
      <c r="E17" s="373">
        <f>IF(C17='1. Samenvatting'!$H$9,VLOOKUP('2. Kostprijs per beheertype'!D17,'1. Samenvatting'!$G$9:$N$15,2,FALSE),IF(C17='1. Samenvatting'!$I$9,VLOOKUP('2. Kostprijs per beheertype'!D17,'1. Samenvatting'!$G$9:$N$15,3),IF(C17='1. Samenvatting'!$J$9,VLOOKUP('2. Kostprijs per beheertype'!D17,'1. Samenvatting'!$G$9:$N$15,4),IF(C17='1. Samenvatting'!$K$9,VLOOKUP('2. Kostprijs per beheertype'!D17,'1. Samenvatting'!$G$9:$N$15,5),IF(C17='1. Samenvatting'!$L$9,VLOOKUP('2. Kostprijs per beheertype'!D17,'1. Samenvatting'!$G$9:$N$15,6),IF(C17='1. Samenvatting'!$M$9,VLOOKUP('2. Kostprijs per beheertype'!D17,'1. Samenvatting'!$G$9:$N$15,7),IF(C17='1. Samenvatting'!$N$9,VLOOKUP('2. Kostprijs per beheertype'!D17,'1. Samenvatting'!$G$9:$N$15,8),"Nvt")))))))</f>
        <v>50.928209617678966</v>
      </c>
      <c r="F17" s="373">
        <f>IF(C17='1. Samenvatting'!$H$9,VLOOKUP('2. Kostprijs per beheertype'!D17,'1. Samenvatting'!$G$16:$N$20,2,FALSE),IF(C17='1. Samenvatting'!$I$9,VLOOKUP('2. Kostprijs per beheertype'!D17,'1. Samenvatting'!$G$16:$N$20,3,FALSE),IF(C17='1. Samenvatting'!$J$9,VLOOKUP('2. Kostprijs per beheertype'!D17,'1. Samenvatting'!$G$16:$N$20,4,FALSE),IF(C17='1. Samenvatting'!$K$9,VLOOKUP('2. Kostprijs per beheertype'!D17,'1. Samenvatting'!$G$16:$N$20,5,FALSE),IF(C17='1. Samenvatting'!$L$9,VLOOKUP('2. Kostprijs per beheertype'!D17,'1. Samenvatting'!$G$16:$N$20,6,FALSE),IF(C17='1. Samenvatting'!$M$9,VLOOKUP('2. Kostprijs per beheertype'!D17,'1. Samenvatting'!$G$16:$N$20,7,FALSE),IF(C17='1. Samenvatting'!$N$9,VLOOKUP('2. Kostprijs per beheertype'!D17,'1. Samenvatting'!$G$16:$N$20,8,FALSE),"Nvt")))))))</f>
        <v>52.877897479669919</v>
      </c>
      <c r="G17" s="374">
        <v>6</v>
      </c>
      <c r="H17" s="373">
        <f t="shared" si="0"/>
        <v>8.4880349362798277</v>
      </c>
      <c r="I17" s="373">
        <f t="shared" si="1"/>
        <v>8.8129829132783204</v>
      </c>
      <c r="J17" s="373"/>
      <c r="K17" s="375"/>
      <c r="L17" s="376"/>
    </row>
    <row r="18" spans="1:12" s="350" customFormat="1" ht="9.9499999999999993" customHeight="1" x14ac:dyDescent="0.2">
      <c r="A18" s="370" t="s">
        <v>42</v>
      </c>
      <c r="B18" s="370" t="s">
        <v>43</v>
      </c>
      <c r="C18" s="371" t="s">
        <v>155</v>
      </c>
      <c r="D18" s="372" t="str">
        <f>IF(C18='4. Beheertypen complexiteit'!$C$6,VLOOKUP('2. Kostprijs per beheertype'!A18,'4. Beheertypen complexiteit'!$A$8:$I$59,3,FALSE),IF(C18='4. Beheertypen complexiteit'!$D$6,VLOOKUP('2. Kostprijs per beheertype'!A18,'4. Beheertypen complexiteit'!$A$8:$I$59,4,FALSE),IF(C18='4. Beheertypen complexiteit'!$E$6,VLOOKUP('2. Kostprijs per beheertype'!A18,'4. Beheertypen complexiteit'!$A$8:$I$59,5,FALSE),IF(C18='4. Beheertypen complexiteit'!$F$6,VLOOKUP('2. Kostprijs per beheertype'!A18,'4. Beheertypen complexiteit'!$A$8:$I$59,6,FALSE),IF(C18='4. Beheertypen complexiteit'!$G$6,VLOOKUP('2. Kostprijs per beheertype'!A18,'4. Beheertypen complexiteit'!$A$8:$I$59,7,FALSE),IF(C18='4. Beheertypen complexiteit'!$H$6,VLOOKUP('2. Kostprijs per beheertype'!A18,'4. Beheertypen complexiteit'!$A$8:$I$59,8,FALSE),IF(C18='4. Beheertypen complexiteit'!$I$6,VLOOKUP('2. Kostprijs per beheertype'!A18,'4. Beheertypen complexiteit'!$A$8:$I$59,9,FALSE),"Nvt")))))))</f>
        <v>Nvt</v>
      </c>
      <c r="E18" s="373" t="str">
        <f>IF(C18='1. Samenvatting'!$H$9,VLOOKUP('2. Kostprijs per beheertype'!D18,'1. Samenvatting'!$G$9:$N$15,2,FALSE),IF(C18='1. Samenvatting'!$I$9,VLOOKUP('2. Kostprijs per beheertype'!D18,'1. Samenvatting'!$G$9:$N$15,3),IF(C18='1. Samenvatting'!$J$9,VLOOKUP('2. Kostprijs per beheertype'!D18,'1. Samenvatting'!$G$9:$N$15,4),IF(C18='1. Samenvatting'!$K$9,VLOOKUP('2. Kostprijs per beheertype'!D18,'1. Samenvatting'!$G$9:$N$15,5),IF(C18='1. Samenvatting'!$L$9,VLOOKUP('2. Kostprijs per beheertype'!D18,'1. Samenvatting'!$G$9:$N$15,6),IF(C18='1. Samenvatting'!$M$9,VLOOKUP('2. Kostprijs per beheertype'!D18,'1. Samenvatting'!$G$9:$N$15,7),IF(C18='1. Samenvatting'!$N$9,VLOOKUP('2. Kostprijs per beheertype'!D18,'1. Samenvatting'!$G$9:$N$15,8),"Nvt")))))))</f>
        <v>Nvt</v>
      </c>
      <c r="F18" s="373" t="str">
        <f>IF(C18='1. Samenvatting'!$H$9,VLOOKUP('2. Kostprijs per beheertype'!D18,'1. Samenvatting'!$G$16:$N$20,2,FALSE),IF(C18='1. Samenvatting'!$I$9,VLOOKUP('2. Kostprijs per beheertype'!D18,'1. Samenvatting'!$G$16:$N$20,3,FALSE),IF(C18='1. Samenvatting'!$J$9,VLOOKUP('2. Kostprijs per beheertype'!D18,'1. Samenvatting'!$G$16:$N$20,4,FALSE),IF(C18='1. Samenvatting'!$K$9,VLOOKUP('2. Kostprijs per beheertype'!D18,'1. Samenvatting'!$G$16:$N$20,5,FALSE),IF(C18='1. Samenvatting'!$L$9,VLOOKUP('2. Kostprijs per beheertype'!D18,'1. Samenvatting'!$G$16:$N$20,6,FALSE),IF(C18='1. Samenvatting'!$M$9,VLOOKUP('2. Kostprijs per beheertype'!D18,'1. Samenvatting'!$G$16:$N$20,7,FALSE),IF(C18='1. Samenvatting'!$N$9,VLOOKUP('2. Kostprijs per beheertype'!D18,'1. Samenvatting'!$G$16:$N$20,8,FALSE),"Nvt")))))))</f>
        <v>Nvt</v>
      </c>
      <c r="G18" s="374">
        <v>6</v>
      </c>
      <c r="H18" s="373">
        <f t="shared" si="0"/>
        <v>0</v>
      </c>
      <c r="I18" s="373">
        <f t="shared" si="1"/>
        <v>0</v>
      </c>
      <c r="J18" s="373"/>
      <c r="K18" s="375"/>
      <c r="L18" s="376"/>
    </row>
    <row r="19" spans="1:12" s="350" customFormat="1" ht="9.9499999999999993" customHeight="1" x14ac:dyDescent="0.2">
      <c r="A19" s="378" t="s">
        <v>42</v>
      </c>
      <c r="B19" s="378" t="s">
        <v>43</v>
      </c>
      <c r="C19" s="379" t="s">
        <v>16</v>
      </c>
      <c r="D19" s="380">
        <f>IF(C19='4. Beheertypen complexiteit'!$C$6,VLOOKUP('2. Kostprijs per beheertype'!A19,'4. Beheertypen complexiteit'!$A$8:$I$59,3,FALSE),IF(C19='4. Beheertypen complexiteit'!$D$6,VLOOKUP('2. Kostprijs per beheertype'!A19,'4. Beheertypen complexiteit'!$A$8:$I$59,4,FALSE),IF(C19='4. Beheertypen complexiteit'!$E$6,VLOOKUP('2. Kostprijs per beheertype'!A19,'4. Beheertypen complexiteit'!$A$8:$I$59,5,FALSE),IF(C19='4. Beheertypen complexiteit'!$F$6,VLOOKUP('2. Kostprijs per beheertype'!A19,'4. Beheertypen complexiteit'!$A$8:$I$59,6,FALSE),IF(C19='4. Beheertypen complexiteit'!$G$6,VLOOKUP('2. Kostprijs per beheertype'!A19,'4. Beheertypen complexiteit'!$A$8:$I$59,7,FALSE),IF(C19='4. Beheertypen complexiteit'!$H$6,VLOOKUP('2. Kostprijs per beheertype'!A19,'4. Beheertypen complexiteit'!$A$8:$I$59,8,FALSE),IF(C19='4. Beheertypen complexiteit'!$I$6,VLOOKUP('2. Kostprijs per beheertype'!A19,'4. Beheertypen complexiteit'!$A$8:$I$59,9,FALSE),"Nvt")))))))</f>
        <v>3</v>
      </c>
      <c r="E19" s="381">
        <f>IF(C19='1. Samenvatting'!$H$9,VLOOKUP('2. Kostprijs per beheertype'!D19,'1. Samenvatting'!$G$9:$N$15,2,FALSE),IF(C19='1. Samenvatting'!$I$9,VLOOKUP('2. Kostprijs per beheertype'!D19,'1. Samenvatting'!$G$9:$N$15,3),IF(C19='1. Samenvatting'!$J$9,VLOOKUP('2. Kostprijs per beheertype'!D19,'1. Samenvatting'!$G$9:$N$15,4),IF(C19='1. Samenvatting'!$K$9,VLOOKUP('2. Kostprijs per beheertype'!D19,'1. Samenvatting'!$G$9:$N$15,5),IF(C19='1. Samenvatting'!$L$9,VLOOKUP('2. Kostprijs per beheertype'!D19,'1. Samenvatting'!$G$9:$N$15,6),IF(C19='1. Samenvatting'!$M$9,VLOOKUP('2. Kostprijs per beheertype'!D19,'1. Samenvatting'!$G$9:$N$15,7),IF(C19='1. Samenvatting'!$N$9,VLOOKUP('2. Kostprijs per beheertype'!D19,'1. Samenvatting'!$G$9:$N$15,8),"Nvt")))))))</f>
        <v>76.345446582624135</v>
      </c>
      <c r="F19" s="381">
        <f>IF(C19='1. Samenvatting'!$H$9,VLOOKUP('2. Kostprijs per beheertype'!D19,'1. Samenvatting'!$G$16:$N$20,2,FALSE),IF(C19='1. Samenvatting'!$I$9,VLOOKUP('2. Kostprijs per beheertype'!D19,'1. Samenvatting'!$G$16:$N$20,3,FALSE),IF(C19='1. Samenvatting'!$J$9,VLOOKUP('2. Kostprijs per beheertype'!D19,'1. Samenvatting'!$G$16:$N$20,4,FALSE),IF(C19='1. Samenvatting'!$K$9,VLOOKUP('2. Kostprijs per beheertype'!D19,'1. Samenvatting'!$G$16:$N$20,5,FALSE),IF(C19='1. Samenvatting'!$L$9,VLOOKUP('2. Kostprijs per beheertype'!D19,'1. Samenvatting'!$G$16:$N$20,6,FALSE),IF(C19='1. Samenvatting'!$M$9,VLOOKUP('2. Kostprijs per beheertype'!D19,'1. Samenvatting'!$G$16:$N$20,7,FALSE),IF(C19='1. Samenvatting'!$N$9,VLOOKUP('2. Kostprijs per beheertype'!D19,'1. Samenvatting'!$G$16:$N$20,8,FALSE),"Nvt")))))))</f>
        <v>76.345446582624135</v>
      </c>
      <c r="G19" s="382">
        <v>12</v>
      </c>
      <c r="H19" s="381">
        <f t="shared" si="0"/>
        <v>6.3621205485520109</v>
      </c>
      <c r="I19" s="381">
        <f t="shared" si="1"/>
        <v>6.3621205485520109</v>
      </c>
      <c r="J19" s="381"/>
      <c r="K19" s="383"/>
      <c r="L19" s="384"/>
    </row>
    <row r="20" spans="1:12" s="350" customFormat="1" ht="9.9499999999999993" customHeight="1" x14ac:dyDescent="0.2">
      <c r="A20" s="364" t="s">
        <v>44</v>
      </c>
      <c r="B20" s="364" t="s">
        <v>45</v>
      </c>
      <c r="C20" s="365" t="s">
        <v>19</v>
      </c>
      <c r="D20" s="366">
        <f>IF(C20='4. Beheertypen complexiteit'!$C$6,VLOOKUP('2. Kostprijs per beheertype'!A20,'4. Beheertypen complexiteit'!$A$8:$I$59,3,FALSE),IF(C20='4. Beheertypen complexiteit'!$D$6,VLOOKUP('2. Kostprijs per beheertype'!A20,'4. Beheertypen complexiteit'!$A$8:$I$59,4,FALSE),IF(C20='4. Beheertypen complexiteit'!$E$6,VLOOKUP('2. Kostprijs per beheertype'!A20,'4. Beheertypen complexiteit'!$A$8:$I$59,5,FALSE),IF(C20='4. Beheertypen complexiteit'!$F$6,VLOOKUP('2. Kostprijs per beheertype'!A20,'4. Beheertypen complexiteit'!$A$8:$I$59,6,FALSE),IF(C20='4. Beheertypen complexiteit'!$G$6,VLOOKUP('2. Kostprijs per beheertype'!A20,'4. Beheertypen complexiteit'!$A$8:$I$59,7,FALSE),IF(C20='4. Beheertypen complexiteit'!$H$6,VLOOKUP('2. Kostprijs per beheertype'!A20,'4. Beheertypen complexiteit'!$A$8:$I$59,8,FALSE),IF(C20='4. Beheertypen complexiteit'!$I$6,VLOOKUP('2. Kostprijs per beheertype'!A20,'4. Beheertypen complexiteit'!$A$8:$I$59,9,FALSE),"Nvt")))))))</f>
        <v>3</v>
      </c>
      <c r="E20" s="367">
        <f>IF(C20='1. Samenvatting'!$H$9,VLOOKUP('2. Kostprijs per beheertype'!D20,'1. Samenvatting'!$G$9:$N$15,2,FALSE),IF(C20='1. Samenvatting'!$I$9,VLOOKUP('2. Kostprijs per beheertype'!D20,'1. Samenvatting'!$G$9:$N$15,3),IF(C20='1. Samenvatting'!$J$9,VLOOKUP('2. Kostprijs per beheertype'!D20,'1. Samenvatting'!$G$9:$N$15,4),IF(C20='1. Samenvatting'!$K$9,VLOOKUP('2. Kostprijs per beheertype'!D20,'1. Samenvatting'!$G$9:$N$15,5),IF(C20='1. Samenvatting'!$L$9,VLOOKUP('2. Kostprijs per beheertype'!D20,'1. Samenvatting'!$G$9:$N$15,6),IF(C20='1. Samenvatting'!$M$9,VLOOKUP('2. Kostprijs per beheertype'!D20,'1. Samenvatting'!$G$9:$N$15,7),IF(C20='1. Samenvatting'!$N$9,VLOOKUP('2. Kostprijs per beheertype'!D20,'1. Samenvatting'!$G$9:$N$15,8),"Nvt")))))))</f>
        <v>43.559801600749353</v>
      </c>
      <c r="F20" s="367">
        <f>IF(C20='1. Samenvatting'!$H$9,VLOOKUP('2. Kostprijs per beheertype'!D20,'1. Samenvatting'!$G$16:$N$20,2,FALSE),IF(C20='1. Samenvatting'!$I$9,VLOOKUP('2. Kostprijs per beheertype'!D20,'1. Samenvatting'!$G$16:$N$20,3,FALSE),IF(C20='1. Samenvatting'!$J$9,VLOOKUP('2. Kostprijs per beheertype'!D20,'1. Samenvatting'!$G$16:$N$20,4,FALSE),IF(C20='1. Samenvatting'!$K$9,VLOOKUP('2. Kostprijs per beheertype'!D20,'1. Samenvatting'!$G$16:$N$20,5,FALSE),IF(C20='1. Samenvatting'!$L$9,VLOOKUP('2. Kostprijs per beheertype'!D20,'1. Samenvatting'!$G$16:$N$20,6,FALSE),IF(C20='1. Samenvatting'!$M$9,VLOOKUP('2. Kostprijs per beheertype'!D20,'1. Samenvatting'!$G$16:$N$20,7,FALSE),IF(C20='1. Samenvatting'!$N$9,VLOOKUP('2. Kostprijs per beheertype'!D20,'1. Samenvatting'!$G$16:$N$20,8,FALSE),"Nvt")))))))</f>
        <v>51.288023660578418</v>
      </c>
      <c r="G20" s="368">
        <v>6</v>
      </c>
      <c r="H20" s="367">
        <f t="shared" si="0"/>
        <v>7.2599669334582257</v>
      </c>
      <c r="I20" s="367">
        <f t="shared" si="1"/>
        <v>8.5480039434297357</v>
      </c>
      <c r="J20" s="367">
        <f>'3. Parameters kostprijsmodel'!$F$36</f>
        <v>3.0089563425755728</v>
      </c>
      <c r="K20" s="361">
        <f>SUM(H20:H23)+J20</f>
        <v>22.388121171049711</v>
      </c>
      <c r="L20" s="362">
        <f>SUM(I20:I23)+J20</f>
        <v>23.846494623328915</v>
      </c>
    </row>
    <row r="21" spans="1:12" s="350" customFormat="1" ht="9.9499999999999993" customHeight="1" x14ac:dyDescent="0.2">
      <c r="A21" s="370" t="s">
        <v>44</v>
      </c>
      <c r="B21" s="370" t="s">
        <v>45</v>
      </c>
      <c r="C21" s="371" t="s">
        <v>21</v>
      </c>
      <c r="D21" s="372">
        <f>IF(C21='4. Beheertypen complexiteit'!$C$6,VLOOKUP('2. Kostprijs per beheertype'!A21,'4. Beheertypen complexiteit'!$A$8:$I$59,3,FALSE),IF(C21='4. Beheertypen complexiteit'!$D$6,VLOOKUP('2. Kostprijs per beheertype'!A21,'4. Beheertypen complexiteit'!$A$8:$I$59,4,FALSE),IF(C21='4. Beheertypen complexiteit'!$E$6,VLOOKUP('2. Kostprijs per beheertype'!A21,'4. Beheertypen complexiteit'!$A$8:$I$59,5,FALSE),IF(C21='4. Beheertypen complexiteit'!$F$6,VLOOKUP('2. Kostprijs per beheertype'!A21,'4. Beheertypen complexiteit'!$A$8:$I$59,6,FALSE),IF(C21='4. Beheertypen complexiteit'!$G$6,VLOOKUP('2. Kostprijs per beheertype'!A21,'4. Beheertypen complexiteit'!$A$8:$I$59,7,FALSE),IF(C21='4. Beheertypen complexiteit'!$H$6,VLOOKUP('2. Kostprijs per beheertype'!A21,'4. Beheertypen complexiteit'!$A$8:$I$59,8,FALSE),IF(C21='4. Beheertypen complexiteit'!$I$6,VLOOKUP('2. Kostprijs per beheertype'!A21,'4. Beheertypen complexiteit'!$A$8:$I$59,9,FALSE),"Nvt")))))))</f>
        <v>2</v>
      </c>
      <c r="E21" s="373">
        <f>IF(C21='1. Samenvatting'!$H$9,VLOOKUP('2. Kostprijs per beheertype'!D21,'1. Samenvatting'!$G$9:$N$15,2,FALSE),IF(C21='1. Samenvatting'!$I$9,VLOOKUP('2. Kostprijs per beheertype'!D21,'1. Samenvatting'!$G$9:$N$15,3),IF(C21='1. Samenvatting'!$J$9,VLOOKUP('2. Kostprijs per beheertype'!D21,'1. Samenvatting'!$G$9:$N$15,4),IF(C21='1. Samenvatting'!$K$9,VLOOKUP('2. Kostprijs per beheertype'!D21,'1. Samenvatting'!$G$9:$N$15,5),IF(C21='1. Samenvatting'!$L$9,VLOOKUP('2. Kostprijs per beheertype'!D21,'1. Samenvatting'!$G$9:$N$15,6),IF(C21='1. Samenvatting'!$M$9,VLOOKUP('2. Kostprijs per beheertype'!D21,'1. Samenvatting'!$G$9:$N$15,7),IF(C21='1. Samenvatting'!$N$9,VLOOKUP('2. Kostprijs per beheertype'!D21,'1. Samenvatting'!$G$9:$N$15,8),"Nvt")))))))</f>
        <v>34.542464078783418</v>
      </c>
      <c r="F21" s="373">
        <f>IF(C21='1. Samenvatting'!$H$9,VLOOKUP('2. Kostprijs per beheertype'!D21,'1. Samenvatting'!$G$16:$N$20,2,FALSE),IF(C21='1. Samenvatting'!$I$9,VLOOKUP('2. Kostprijs per beheertype'!D21,'1. Samenvatting'!$G$16:$N$20,3,FALSE),IF(C21='1. Samenvatting'!$J$9,VLOOKUP('2. Kostprijs per beheertype'!D21,'1. Samenvatting'!$G$16:$N$20,4,FALSE),IF(C21='1. Samenvatting'!$K$9,VLOOKUP('2. Kostprijs per beheertype'!D21,'1. Samenvatting'!$G$16:$N$20,5,FALSE),IF(C21='1. Samenvatting'!$L$9,VLOOKUP('2. Kostprijs per beheertype'!D21,'1. Samenvatting'!$G$16:$N$20,6,FALSE),IF(C21='1. Samenvatting'!$M$9,VLOOKUP('2. Kostprijs per beheertype'!D21,'1. Samenvatting'!$G$16:$N$20,7,FALSE),IF(C21='1. Samenvatting'!$N$9,VLOOKUP('2. Kostprijs per beheertype'!D21,'1. Samenvatting'!$G$16:$N$20,8,FALSE),"Nvt")))))))</f>
        <v>35.564482732629571</v>
      </c>
      <c r="G21" s="374">
        <v>6</v>
      </c>
      <c r="H21" s="373">
        <f t="shared" si="0"/>
        <v>5.7570773464639027</v>
      </c>
      <c r="I21" s="373">
        <f t="shared" si="1"/>
        <v>5.9274137887715952</v>
      </c>
      <c r="J21" s="373"/>
      <c r="K21" s="375"/>
      <c r="L21" s="376"/>
    </row>
    <row r="22" spans="1:12" s="350" customFormat="1" ht="9.9499999999999993" customHeight="1" x14ac:dyDescent="0.2">
      <c r="A22" s="370" t="s">
        <v>44</v>
      </c>
      <c r="B22" s="370" t="s">
        <v>45</v>
      </c>
      <c r="C22" s="371" t="s">
        <v>155</v>
      </c>
      <c r="D22" s="372" t="str">
        <f>IF(C22='4. Beheertypen complexiteit'!$C$6,VLOOKUP('2. Kostprijs per beheertype'!A22,'4. Beheertypen complexiteit'!$A$8:$I$59,3,FALSE),IF(C22='4. Beheertypen complexiteit'!$D$6,VLOOKUP('2. Kostprijs per beheertype'!A22,'4. Beheertypen complexiteit'!$A$8:$I$59,4,FALSE),IF(C22='4. Beheertypen complexiteit'!$E$6,VLOOKUP('2. Kostprijs per beheertype'!A22,'4. Beheertypen complexiteit'!$A$8:$I$59,5,FALSE),IF(C22='4. Beheertypen complexiteit'!$F$6,VLOOKUP('2. Kostprijs per beheertype'!A22,'4. Beheertypen complexiteit'!$A$8:$I$59,6,FALSE),IF(C22='4. Beheertypen complexiteit'!$G$6,VLOOKUP('2. Kostprijs per beheertype'!A22,'4. Beheertypen complexiteit'!$A$8:$I$59,7,FALSE),IF(C22='4. Beheertypen complexiteit'!$H$6,VLOOKUP('2. Kostprijs per beheertype'!A22,'4. Beheertypen complexiteit'!$A$8:$I$59,8,FALSE),IF(C22='4. Beheertypen complexiteit'!$I$6,VLOOKUP('2. Kostprijs per beheertype'!A22,'4. Beheertypen complexiteit'!$A$8:$I$59,9,FALSE),"Nvt")))))))</f>
        <v>Nvt</v>
      </c>
      <c r="E22" s="373" t="str">
        <f>IF(C22='1. Samenvatting'!$H$9,VLOOKUP('2. Kostprijs per beheertype'!D22,'1. Samenvatting'!$G$9:$N$15,2,FALSE),IF(C22='1. Samenvatting'!$I$9,VLOOKUP('2. Kostprijs per beheertype'!D22,'1. Samenvatting'!$G$9:$N$15,3),IF(C22='1. Samenvatting'!$J$9,VLOOKUP('2. Kostprijs per beheertype'!D22,'1. Samenvatting'!$G$9:$N$15,4),IF(C22='1. Samenvatting'!$K$9,VLOOKUP('2. Kostprijs per beheertype'!D22,'1. Samenvatting'!$G$9:$N$15,5),IF(C22='1. Samenvatting'!$L$9,VLOOKUP('2. Kostprijs per beheertype'!D22,'1. Samenvatting'!$G$9:$N$15,6),IF(C22='1. Samenvatting'!$M$9,VLOOKUP('2. Kostprijs per beheertype'!D22,'1. Samenvatting'!$G$9:$N$15,7),IF(C22='1. Samenvatting'!$N$9,VLOOKUP('2. Kostprijs per beheertype'!D22,'1. Samenvatting'!$G$9:$N$15,8),"Nvt")))))))</f>
        <v>Nvt</v>
      </c>
      <c r="F22" s="373" t="str">
        <f>IF(C22='1. Samenvatting'!$H$9,VLOOKUP('2. Kostprijs per beheertype'!D22,'1. Samenvatting'!$G$16:$N$20,2,FALSE),IF(C22='1. Samenvatting'!$I$9,VLOOKUP('2. Kostprijs per beheertype'!D22,'1. Samenvatting'!$G$16:$N$20,3,FALSE),IF(C22='1. Samenvatting'!$J$9,VLOOKUP('2. Kostprijs per beheertype'!D22,'1. Samenvatting'!$G$16:$N$20,4,FALSE),IF(C22='1. Samenvatting'!$K$9,VLOOKUP('2. Kostprijs per beheertype'!D22,'1. Samenvatting'!$G$16:$N$20,5,FALSE),IF(C22='1. Samenvatting'!$L$9,VLOOKUP('2. Kostprijs per beheertype'!D22,'1. Samenvatting'!$G$16:$N$20,6,FALSE),IF(C22='1. Samenvatting'!$M$9,VLOOKUP('2. Kostprijs per beheertype'!D22,'1. Samenvatting'!$G$16:$N$20,7,FALSE),IF(C22='1. Samenvatting'!$N$9,VLOOKUP('2. Kostprijs per beheertype'!D22,'1. Samenvatting'!$G$16:$N$20,8,FALSE),"Nvt")))))))</f>
        <v>Nvt</v>
      </c>
      <c r="G22" s="374">
        <v>6</v>
      </c>
      <c r="H22" s="373">
        <f t="shared" si="0"/>
        <v>0</v>
      </c>
      <c r="I22" s="373">
        <f t="shared" si="1"/>
        <v>0</v>
      </c>
      <c r="J22" s="373"/>
      <c r="K22" s="375"/>
      <c r="L22" s="376"/>
    </row>
    <row r="23" spans="1:12" s="350" customFormat="1" ht="9.9499999999999993" customHeight="1" x14ac:dyDescent="0.2">
      <c r="A23" s="378" t="s">
        <v>44</v>
      </c>
      <c r="B23" s="378" t="s">
        <v>45</v>
      </c>
      <c r="C23" s="379" t="s">
        <v>16</v>
      </c>
      <c r="D23" s="380">
        <f>IF(C23='4. Beheertypen complexiteit'!$C$6,VLOOKUP('2. Kostprijs per beheertype'!A23,'4. Beheertypen complexiteit'!$A$8:$I$59,3,FALSE),IF(C23='4. Beheertypen complexiteit'!$D$6,VLOOKUP('2. Kostprijs per beheertype'!A23,'4. Beheertypen complexiteit'!$A$8:$I$59,4,FALSE),IF(C23='4. Beheertypen complexiteit'!$E$6,VLOOKUP('2. Kostprijs per beheertype'!A23,'4. Beheertypen complexiteit'!$A$8:$I$59,5,FALSE),IF(C23='4. Beheertypen complexiteit'!$F$6,VLOOKUP('2. Kostprijs per beheertype'!A23,'4. Beheertypen complexiteit'!$A$8:$I$59,6,FALSE),IF(C23='4. Beheertypen complexiteit'!$G$6,VLOOKUP('2. Kostprijs per beheertype'!A23,'4. Beheertypen complexiteit'!$A$8:$I$59,7,FALSE),IF(C23='4. Beheertypen complexiteit'!$H$6,VLOOKUP('2. Kostprijs per beheertype'!A23,'4. Beheertypen complexiteit'!$A$8:$I$59,8,FALSE),IF(C23='4. Beheertypen complexiteit'!$I$6,VLOOKUP('2. Kostprijs per beheertype'!A23,'4. Beheertypen complexiteit'!$A$8:$I$59,9,FALSE),"Nvt")))))))</f>
        <v>3</v>
      </c>
      <c r="E23" s="381">
        <f>IF(C23='1. Samenvatting'!$H$9,VLOOKUP('2. Kostprijs per beheertype'!D23,'1. Samenvatting'!$G$9:$N$15,2,FALSE),IF(C23='1. Samenvatting'!$I$9,VLOOKUP('2. Kostprijs per beheertype'!D23,'1. Samenvatting'!$G$9:$N$15,3),IF(C23='1. Samenvatting'!$J$9,VLOOKUP('2. Kostprijs per beheertype'!D23,'1. Samenvatting'!$G$9:$N$15,4),IF(C23='1. Samenvatting'!$K$9,VLOOKUP('2. Kostprijs per beheertype'!D23,'1. Samenvatting'!$G$9:$N$15,5),IF(C23='1. Samenvatting'!$L$9,VLOOKUP('2. Kostprijs per beheertype'!D23,'1. Samenvatting'!$G$9:$N$15,6),IF(C23='1. Samenvatting'!$M$9,VLOOKUP('2. Kostprijs per beheertype'!D23,'1. Samenvatting'!$G$9:$N$15,7),IF(C23='1. Samenvatting'!$N$9,VLOOKUP('2. Kostprijs per beheertype'!D23,'1. Samenvatting'!$G$9:$N$15,8),"Nvt")))))))</f>
        <v>76.345446582624135</v>
      </c>
      <c r="F23" s="381">
        <f>IF(C23='1. Samenvatting'!$H$9,VLOOKUP('2. Kostprijs per beheertype'!D23,'1. Samenvatting'!$G$16:$N$20,2,FALSE),IF(C23='1. Samenvatting'!$I$9,VLOOKUP('2. Kostprijs per beheertype'!D23,'1. Samenvatting'!$G$16:$N$20,3,FALSE),IF(C23='1. Samenvatting'!$J$9,VLOOKUP('2. Kostprijs per beheertype'!D23,'1. Samenvatting'!$G$16:$N$20,4,FALSE),IF(C23='1. Samenvatting'!$K$9,VLOOKUP('2. Kostprijs per beheertype'!D23,'1. Samenvatting'!$G$16:$N$20,5,FALSE),IF(C23='1. Samenvatting'!$L$9,VLOOKUP('2. Kostprijs per beheertype'!D23,'1. Samenvatting'!$G$16:$N$20,6,FALSE),IF(C23='1. Samenvatting'!$M$9,VLOOKUP('2. Kostprijs per beheertype'!D23,'1. Samenvatting'!$G$16:$N$20,7,FALSE),IF(C23='1. Samenvatting'!$N$9,VLOOKUP('2. Kostprijs per beheertype'!D23,'1. Samenvatting'!$G$16:$N$20,8,FALSE),"Nvt")))))))</f>
        <v>76.345446582624135</v>
      </c>
      <c r="G23" s="382">
        <v>12</v>
      </c>
      <c r="H23" s="381">
        <f t="shared" si="0"/>
        <v>6.3621205485520109</v>
      </c>
      <c r="I23" s="381">
        <f t="shared" si="1"/>
        <v>6.3621205485520109</v>
      </c>
      <c r="J23" s="381"/>
      <c r="K23" s="383"/>
      <c r="L23" s="384"/>
    </row>
    <row r="24" spans="1:12" s="300" customFormat="1" ht="9.9499999999999993" customHeight="1" x14ac:dyDescent="0.15">
      <c r="A24" s="386" t="s">
        <v>46</v>
      </c>
      <c r="B24" s="386" t="s">
        <v>47</v>
      </c>
      <c r="C24" s="365" t="s">
        <v>19</v>
      </c>
      <c r="D24" s="366" t="str">
        <f>IF(C24='4. Beheertypen complexiteit'!$C$6,VLOOKUP('2. Kostprijs per beheertype'!A24,'4. Beheertypen complexiteit'!$A$8:$I$59,3,FALSE),IF(C24='4. Beheertypen complexiteit'!$D$6,VLOOKUP('2. Kostprijs per beheertype'!A24,'4. Beheertypen complexiteit'!$A$8:$I$59,4,FALSE),IF(C24='4. Beheertypen complexiteit'!$E$6,VLOOKUP('2. Kostprijs per beheertype'!A24,'4. Beheertypen complexiteit'!$A$8:$I$59,5,FALSE),IF(C24='4. Beheertypen complexiteit'!$F$6,VLOOKUP('2. Kostprijs per beheertype'!A24,'4. Beheertypen complexiteit'!$A$8:$I$59,6,FALSE),IF(C24='4. Beheertypen complexiteit'!$G$6,VLOOKUP('2. Kostprijs per beheertype'!A24,'4. Beheertypen complexiteit'!$A$8:$I$59,7,FALSE),IF(C24='4. Beheertypen complexiteit'!$H$6,VLOOKUP('2. Kostprijs per beheertype'!A24,'4. Beheertypen complexiteit'!$A$8:$I$59,8,FALSE),IF(C24='4. Beheertypen complexiteit'!$I$6,VLOOKUP('2. Kostprijs per beheertype'!A24,'4. Beheertypen complexiteit'!$A$8:$I$59,9,FALSE),"Nvt")))))))</f>
        <v>Nvt</v>
      </c>
      <c r="E24" s="367" t="str">
        <f>IF(C24='1. Samenvatting'!$H$9,VLOOKUP('2. Kostprijs per beheertype'!D24,'1. Samenvatting'!$G$9:$N$15,2,FALSE),IF(C24='1. Samenvatting'!$I$9,VLOOKUP('2. Kostprijs per beheertype'!D24,'1. Samenvatting'!$G$9:$N$15,3),IF(C24='1. Samenvatting'!$J$9,VLOOKUP('2. Kostprijs per beheertype'!D24,'1. Samenvatting'!$G$9:$N$15,4),IF(C24='1. Samenvatting'!$K$9,VLOOKUP('2. Kostprijs per beheertype'!D24,'1. Samenvatting'!$G$9:$N$15,5),IF(C24='1. Samenvatting'!$L$9,VLOOKUP('2. Kostprijs per beheertype'!D24,'1. Samenvatting'!$G$9:$N$15,6),IF(C24='1. Samenvatting'!$M$9,VLOOKUP('2. Kostprijs per beheertype'!D24,'1. Samenvatting'!$G$9:$N$15,7),IF(C24='1. Samenvatting'!$N$9,VLOOKUP('2. Kostprijs per beheertype'!D24,'1. Samenvatting'!$G$9:$N$15,8),"Nvt")))))))</f>
        <v>Nvt</v>
      </c>
      <c r="F24" s="367" t="str">
        <f>IF(C24='1. Samenvatting'!$H$9,VLOOKUP('2. Kostprijs per beheertype'!D24,'1. Samenvatting'!$G$16:$N$20,2,FALSE),IF(C24='1. Samenvatting'!$I$9,VLOOKUP('2. Kostprijs per beheertype'!D24,'1. Samenvatting'!$G$16:$N$20,3,FALSE),IF(C24='1. Samenvatting'!$J$9,VLOOKUP('2. Kostprijs per beheertype'!D24,'1. Samenvatting'!$G$16:$N$20,4,FALSE),IF(C24='1. Samenvatting'!$K$9,VLOOKUP('2. Kostprijs per beheertype'!D24,'1. Samenvatting'!$G$16:$N$20,5,FALSE),IF(C24='1. Samenvatting'!$L$9,VLOOKUP('2. Kostprijs per beheertype'!D24,'1. Samenvatting'!$G$16:$N$20,6,FALSE),IF(C24='1. Samenvatting'!$M$9,VLOOKUP('2. Kostprijs per beheertype'!D24,'1. Samenvatting'!$G$16:$N$20,7,FALSE),IF(C24='1. Samenvatting'!$N$9,VLOOKUP('2. Kostprijs per beheertype'!D24,'1. Samenvatting'!$G$16:$N$20,8,FALSE),"Nvt")))))))</f>
        <v>Nvt</v>
      </c>
      <c r="G24" s="368">
        <v>6</v>
      </c>
      <c r="H24" s="367">
        <f t="shared" si="0"/>
        <v>0</v>
      </c>
      <c r="I24" s="367">
        <f t="shared" si="1"/>
        <v>0</v>
      </c>
      <c r="J24" s="367">
        <f>'3. Parameters kostprijsmodel'!$F$36</f>
        <v>3.0089563425755728</v>
      </c>
      <c r="K24" s="361">
        <f>SUM(H24:H27)</f>
        <v>0</v>
      </c>
      <c r="L24" s="387">
        <f>SUM(I24:I27)</f>
        <v>0</v>
      </c>
    </row>
    <row r="25" spans="1:12" s="300" customFormat="1" ht="9.9499999999999993" customHeight="1" x14ac:dyDescent="0.15">
      <c r="A25" s="388" t="s">
        <v>46</v>
      </c>
      <c r="B25" s="388" t="s">
        <v>47</v>
      </c>
      <c r="C25" s="389" t="s">
        <v>25</v>
      </c>
      <c r="D25" s="390" t="str">
        <f>IF(C25='4. Beheertypen complexiteit'!$C$6,VLOOKUP('2. Kostprijs per beheertype'!A25,'4. Beheertypen complexiteit'!$A$8:$I$59,3,FALSE),IF(C25='4. Beheertypen complexiteit'!$D$6,VLOOKUP('2. Kostprijs per beheertype'!A25,'4. Beheertypen complexiteit'!$A$8:$I$59,4,FALSE),IF(C25='4. Beheertypen complexiteit'!$E$6,VLOOKUP('2. Kostprijs per beheertype'!A25,'4. Beheertypen complexiteit'!$A$8:$I$59,5,FALSE),IF(C25='4. Beheertypen complexiteit'!$F$6,VLOOKUP('2. Kostprijs per beheertype'!A25,'4. Beheertypen complexiteit'!$A$8:$I$59,6,FALSE),IF(C25='4. Beheertypen complexiteit'!$G$6,VLOOKUP('2. Kostprijs per beheertype'!A25,'4. Beheertypen complexiteit'!$A$8:$I$59,7,FALSE),IF(C25='4. Beheertypen complexiteit'!$H$6,VLOOKUP('2. Kostprijs per beheertype'!A25,'4. Beheertypen complexiteit'!$A$8:$I$59,8,FALSE),IF(C25='4. Beheertypen complexiteit'!$I$6,VLOOKUP('2. Kostprijs per beheertype'!A25,'4. Beheertypen complexiteit'!$A$8:$I$59,9,FALSE),"Nvt")))))))</f>
        <v>Nvt</v>
      </c>
      <c r="E25" s="391" t="str">
        <f>IF(C25='1. Samenvatting'!$H$9,VLOOKUP('2. Kostprijs per beheertype'!D25,'1. Samenvatting'!$G$9:$N$15,2,FALSE),IF(C25='1. Samenvatting'!$I$9,VLOOKUP('2. Kostprijs per beheertype'!D25,'1. Samenvatting'!$G$9:$N$15,3),IF(C25='1. Samenvatting'!$J$9,VLOOKUP('2. Kostprijs per beheertype'!D25,'1. Samenvatting'!$G$9:$N$15,4),IF(C25='1. Samenvatting'!$K$9,VLOOKUP('2. Kostprijs per beheertype'!D25,'1. Samenvatting'!$G$9:$N$15,5),IF(C25='1. Samenvatting'!$L$9,VLOOKUP('2. Kostprijs per beheertype'!D25,'1. Samenvatting'!$G$9:$N$15,6),IF(C25='1. Samenvatting'!$M$9,VLOOKUP('2. Kostprijs per beheertype'!D25,'1. Samenvatting'!$G$9:$N$15,7),IF(C25='1. Samenvatting'!$N$9,VLOOKUP('2. Kostprijs per beheertype'!D25,'1. Samenvatting'!$G$9:$N$15,8),"Nvt")))))))</f>
        <v>Nvt</v>
      </c>
      <c r="F25" s="391" t="str">
        <f>IF(C25='1. Samenvatting'!$H$9,VLOOKUP('2. Kostprijs per beheertype'!D25,'1. Samenvatting'!$G$16:$N$20,2,FALSE),IF(C25='1. Samenvatting'!$I$9,VLOOKUP('2. Kostprijs per beheertype'!D25,'1. Samenvatting'!$G$16:$N$20,3,FALSE),IF(C25='1. Samenvatting'!$J$9,VLOOKUP('2. Kostprijs per beheertype'!D25,'1. Samenvatting'!$G$16:$N$20,4,FALSE),IF(C25='1. Samenvatting'!$K$9,VLOOKUP('2. Kostprijs per beheertype'!D25,'1. Samenvatting'!$G$16:$N$20,5,FALSE),IF(C25='1. Samenvatting'!$L$9,VLOOKUP('2. Kostprijs per beheertype'!D25,'1. Samenvatting'!$G$16:$N$20,6,FALSE),IF(C25='1. Samenvatting'!$M$9,VLOOKUP('2. Kostprijs per beheertype'!D25,'1. Samenvatting'!$G$16:$N$20,7,FALSE),IF(C25='1. Samenvatting'!$N$9,VLOOKUP('2. Kostprijs per beheertype'!D25,'1. Samenvatting'!$G$16:$N$20,8,FALSE),"Nvt")))))))</f>
        <v>Nvt</v>
      </c>
      <c r="G25" s="392">
        <v>3</v>
      </c>
      <c r="H25" s="391">
        <f t="shared" si="0"/>
        <v>0</v>
      </c>
      <c r="I25" s="391">
        <f t="shared" si="1"/>
        <v>0</v>
      </c>
      <c r="J25" s="391"/>
      <c r="K25" s="393"/>
      <c r="L25" s="394"/>
    </row>
    <row r="26" spans="1:12" s="300" customFormat="1" ht="9.9499999999999993" customHeight="1" x14ac:dyDescent="0.15">
      <c r="A26" s="388" t="s">
        <v>46</v>
      </c>
      <c r="B26" s="388" t="s">
        <v>47</v>
      </c>
      <c r="C26" s="371" t="s">
        <v>155</v>
      </c>
      <c r="D26" s="372" t="str">
        <f>IF(C26='4. Beheertypen complexiteit'!$C$6,VLOOKUP('2. Kostprijs per beheertype'!A26,'4. Beheertypen complexiteit'!$A$8:$I$59,3,FALSE),IF(C26='4. Beheertypen complexiteit'!$D$6,VLOOKUP('2. Kostprijs per beheertype'!A26,'4. Beheertypen complexiteit'!$A$8:$I$59,4,FALSE),IF(C26='4. Beheertypen complexiteit'!$E$6,VLOOKUP('2. Kostprijs per beheertype'!A26,'4. Beheertypen complexiteit'!$A$8:$I$59,5,FALSE),IF(C26='4. Beheertypen complexiteit'!$F$6,VLOOKUP('2. Kostprijs per beheertype'!A26,'4. Beheertypen complexiteit'!$A$8:$I$59,6,FALSE),IF(C26='4. Beheertypen complexiteit'!$G$6,VLOOKUP('2. Kostprijs per beheertype'!A26,'4. Beheertypen complexiteit'!$A$8:$I$59,7,FALSE),IF(C26='4. Beheertypen complexiteit'!$H$6,VLOOKUP('2. Kostprijs per beheertype'!A26,'4. Beheertypen complexiteit'!$A$8:$I$59,8,FALSE),IF(C26='4. Beheertypen complexiteit'!$I$6,VLOOKUP('2. Kostprijs per beheertype'!A26,'4. Beheertypen complexiteit'!$A$8:$I$59,9,FALSE),"Nvt")))))))</f>
        <v>Nvt</v>
      </c>
      <c r="E26" s="373" t="str">
        <f>IF(C26='1. Samenvatting'!$H$9,VLOOKUP('2. Kostprijs per beheertype'!D26,'1. Samenvatting'!$G$9:$N$15,2,FALSE),IF(C26='1. Samenvatting'!$I$9,VLOOKUP('2. Kostprijs per beheertype'!D26,'1. Samenvatting'!$G$9:$N$15,3),IF(C26='1. Samenvatting'!$J$9,VLOOKUP('2. Kostprijs per beheertype'!D26,'1. Samenvatting'!$G$9:$N$15,4),IF(C26='1. Samenvatting'!$K$9,VLOOKUP('2. Kostprijs per beheertype'!D26,'1. Samenvatting'!$G$9:$N$15,5),IF(C26='1. Samenvatting'!$L$9,VLOOKUP('2. Kostprijs per beheertype'!D26,'1. Samenvatting'!$G$9:$N$15,6),IF(C26='1. Samenvatting'!$M$9,VLOOKUP('2. Kostprijs per beheertype'!D26,'1. Samenvatting'!$G$9:$N$15,7),IF(C26='1. Samenvatting'!$N$9,VLOOKUP('2. Kostprijs per beheertype'!D26,'1. Samenvatting'!$G$9:$N$15,8),"Nvt")))))))</f>
        <v>Nvt</v>
      </c>
      <c r="F26" s="373" t="str">
        <f>IF(C26='1. Samenvatting'!$H$9,VLOOKUP('2. Kostprijs per beheertype'!D26,'1. Samenvatting'!$G$16:$N$20,2,FALSE),IF(C26='1. Samenvatting'!$I$9,VLOOKUP('2. Kostprijs per beheertype'!D26,'1. Samenvatting'!$G$16:$N$20,3,FALSE),IF(C26='1. Samenvatting'!$J$9,VLOOKUP('2. Kostprijs per beheertype'!D26,'1. Samenvatting'!$G$16:$N$20,4,FALSE),IF(C26='1. Samenvatting'!$K$9,VLOOKUP('2. Kostprijs per beheertype'!D26,'1. Samenvatting'!$G$16:$N$20,5,FALSE),IF(C26='1. Samenvatting'!$L$9,VLOOKUP('2. Kostprijs per beheertype'!D26,'1. Samenvatting'!$G$16:$N$20,6,FALSE),IF(C26='1. Samenvatting'!$M$9,VLOOKUP('2. Kostprijs per beheertype'!D26,'1. Samenvatting'!$G$16:$N$20,7,FALSE),IF(C26='1. Samenvatting'!$N$9,VLOOKUP('2. Kostprijs per beheertype'!D26,'1. Samenvatting'!$G$16:$N$20,8,FALSE),"Nvt")))))))</f>
        <v>Nvt</v>
      </c>
      <c r="G26" s="374">
        <v>6</v>
      </c>
      <c r="H26" s="373">
        <f t="shared" si="0"/>
        <v>0</v>
      </c>
      <c r="I26" s="373">
        <f t="shared" si="1"/>
        <v>0</v>
      </c>
      <c r="J26" s="373"/>
      <c r="K26" s="393"/>
      <c r="L26" s="394"/>
    </row>
    <row r="27" spans="1:12" s="300" customFormat="1" ht="9.9499999999999993" customHeight="1" x14ac:dyDescent="0.15">
      <c r="A27" s="395" t="s">
        <v>46</v>
      </c>
      <c r="B27" s="395" t="s">
        <v>47</v>
      </c>
      <c r="C27" s="379" t="s">
        <v>16</v>
      </c>
      <c r="D27" s="380" t="str">
        <f>IF(C27='4. Beheertypen complexiteit'!$C$6,VLOOKUP('2. Kostprijs per beheertype'!A27,'4. Beheertypen complexiteit'!$A$8:$I$59,3,FALSE),IF(C27='4. Beheertypen complexiteit'!$D$6,VLOOKUP('2. Kostprijs per beheertype'!A27,'4. Beheertypen complexiteit'!$A$8:$I$59,4,FALSE),IF(C27='4. Beheertypen complexiteit'!$E$6,VLOOKUP('2. Kostprijs per beheertype'!A27,'4. Beheertypen complexiteit'!$A$8:$I$59,5,FALSE),IF(C27='4. Beheertypen complexiteit'!$F$6,VLOOKUP('2. Kostprijs per beheertype'!A27,'4. Beheertypen complexiteit'!$A$8:$I$59,6,FALSE),IF(C27='4. Beheertypen complexiteit'!$G$6,VLOOKUP('2. Kostprijs per beheertype'!A27,'4. Beheertypen complexiteit'!$A$8:$I$59,7,FALSE),IF(C27='4. Beheertypen complexiteit'!$H$6,VLOOKUP('2. Kostprijs per beheertype'!A27,'4. Beheertypen complexiteit'!$A$8:$I$59,8,FALSE),IF(C27='4. Beheertypen complexiteit'!$I$6,VLOOKUP('2. Kostprijs per beheertype'!A27,'4. Beheertypen complexiteit'!$A$8:$I$59,9,FALSE),"Nvt")))))))</f>
        <v>Nvt</v>
      </c>
      <c r="E27" s="381" t="str">
        <f>IF(C27='1. Samenvatting'!$H$9,VLOOKUP('2. Kostprijs per beheertype'!D27,'1. Samenvatting'!$G$9:$N$15,2,FALSE),IF(C27='1. Samenvatting'!$I$9,VLOOKUP('2. Kostprijs per beheertype'!D27,'1. Samenvatting'!$G$9:$N$15,3),IF(C27='1. Samenvatting'!$J$9,VLOOKUP('2. Kostprijs per beheertype'!D27,'1. Samenvatting'!$G$9:$N$15,4),IF(C27='1. Samenvatting'!$K$9,VLOOKUP('2. Kostprijs per beheertype'!D27,'1. Samenvatting'!$G$9:$N$15,5),IF(C27='1. Samenvatting'!$L$9,VLOOKUP('2. Kostprijs per beheertype'!D27,'1. Samenvatting'!$G$9:$N$15,6),IF(C27='1. Samenvatting'!$M$9,VLOOKUP('2. Kostprijs per beheertype'!D27,'1. Samenvatting'!$G$9:$N$15,7),IF(C27='1. Samenvatting'!$N$9,VLOOKUP('2. Kostprijs per beheertype'!D27,'1. Samenvatting'!$G$9:$N$15,8),"Nvt")))))))</f>
        <v>Nvt</v>
      </c>
      <c r="F27" s="381" t="str">
        <f>IF(C27='1. Samenvatting'!$H$9,VLOOKUP('2. Kostprijs per beheertype'!D27,'1. Samenvatting'!$G$16:$N$20,2,FALSE),IF(C27='1. Samenvatting'!$I$9,VLOOKUP('2. Kostprijs per beheertype'!D27,'1. Samenvatting'!$G$16:$N$20,3,FALSE),IF(C27='1. Samenvatting'!$J$9,VLOOKUP('2. Kostprijs per beheertype'!D27,'1. Samenvatting'!$G$16:$N$20,4,FALSE),IF(C27='1. Samenvatting'!$K$9,VLOOKUP('2. Kostprijs per beheertype'!D27,'1. Samenvatting'!$G$16:$N$20,5,FALSE),IF(C27='1. Samenvatting'!$L$9,VLOOKUP('2. Kostprijs per beheertype'!D27,'1. Samenvatting'!$G$16:$N$20,6,FALSE),IF(C27='1. Samenvatting'!$M$9,VLOOKUP('2. Kostprijs per beheertype'!D27,'1. Samenvatting'!$G$16:$N$20,7,FALSE),IF(C27='1. Samenvatting'!$N$9,VLOOKUP('2. Kostprijs per beheertype'!D27,'1. Samenvatting'!$G$16:$N$20,8,FALSE),"Nvt")))))))</f>
        <v>Nvt</v>
      </c>
      <c r="G27" s="382">
        <v>12</v>
      </c>
      <c r="H27" s="381">
        <f t="shared" si="0"/>
        <v>0</v>
      </c>
      <c r="I27" s="381">
        <f t="shared" si="1"/>
        <v>0</v>
      </c>
      <c r="J27" s="381"/>
      <c r="K27" s="396"/>
      <c r="L27" s="397"/>
    </row>
    <row r="28" spans="1:12" s="300" customFormat="1" ht="9.9499999999999993" customHeight="1" x14ac:dyDescent="0.15">
      <c r="A28" s="398" t="s">
        <v>48</v>
      </c>
      <c r="B28" s="398" t="s">
        <v>49</v>
      </c>
      <c r="C28" s="365" t="s">
        <v>19</v>
      </c>
      <c r="D28" s="366" t="str">
        <f>IF(C28='4. Beheertypen complexiteit'!$C$6,VLOOKUP('2. Kostprijs per beheertype'!A28,'4. Beheertypen complexiteit'!$A$8:$I$59,3,FALSE),IF(C28='4. Beheertypen complexiteit'!$D$6,VLOOKUP('2. Kostprijs per beheertype'!A28,'4. Beheertypen complexiteit'!$A$8:$I$59,4,FALSE),IF(C28='4. Beheertypen complexiteit'!$E$6,VLOOKUP('2. Kostprijs per beheertype'!A28,'4. Beheertypen complexiteit'!$A$8:$I$59,5,FALSE),IF(C28='4. Beheertypen complexiteit'!$F$6,VLOOKUP('2. Kostprijs per beheertype'!A28,'4. Beheertypen complexiteit'!$A$8:$I$59,6,FALSE),IF(C28='4. Beheertypen complexiteit'!$G$6,VLOOKUP('2. Kostprijs per beheertype'!A28,'4. Beheertypen complexiteit'!$A$8:$I$59,7,FALSE),IF(C28='4. Beheertypen complexiteit'!$H$6,VLOOKUP('2. Kostprijs per beheertype'!A28,'4. Beheertypen complexiteit'!$A$8:$I$59,8,FALSE),IF(C28='4. Beheertypen complexiteit'!$I$6,VLOOKUP('2. Kostprijs per beheertype'!A28,'4. Beheertypen complexiteit'!$A$8:$I$59,9,FALSE),"Nvt")))))))</f>
        <v>Nvt</v>
      </c>
      <c r="E28" s="367" t="str">
        <f>IF(C28='1. Samenvatting'!$H$9,VLOOKUP('2. Kostprijs per beheertype'!D28,'1. Samenvatting'!$G$9:$N$15,2,FALSE),IF(C28='1. Samenvatting'!$I$9,VLOOKUP('2. Kostprijs per beheertype'!D28,'1. Samenvatting'!$G$9:$N$15,3),IF(C28='1. Samenvatting'!$J$9,VLOOKUP('2. Kostprijs per beheertype'!D28,'1. Samenvatting'!$G$9:$N$15,4),IF(C28='1. Samenvatting'!$K$9,VLOOKUP('2. Kostprijs per beheertype'!D28,'1. Samenvatting'!$G$9:$N$15,5),IF(C28='1. Samenvatting'!$L$9,VLOOKUP('2. Kostprijs per beheertype'!D28,'1. Samenvatting'!$G$9:$N$15,6),IF(C28='1. Samenvatting'!$M$9,VLOOKUP('2. Kostprijs per beheertype'!D28,'1. Samenvatting'!$G$9:$N$15,7),IF(C28='1. Samenvatting'!$N$9,VLOOKUP('2. Kostprijs per beheertype'!D28,'1. Samenvatting'!$G$9:$N$15,8),"Nvt")))))))</f>
        <v>Nvt</v>
      </c>
      <c r="F28" s="367" t="str">
        <f>IF(C28='1. Samenvatting'!$H$9,VLOOKUP('2. Kostprijs per beheertype'!D28,'1. Samenvatting'!$G$16:$N$20,2,FALSE),IF(C28='1. Samenvatting'!$I$9,VLOOKUP('2. Kostprijs per beheertype'!D28,'1. Samenvatting'!$G$16:$N$20,3,FALSE),IF(C28='1. Samenvatting'!$J$9,VLOOKUP('2. Kostprijs per beheertype'!D28,'1. Samenvatting'!$G$16:$N$20,4,FALSE),IF(C28='1. Samenvatting'!$K$9,VLOOKUP('2. Kostprijs per beheertype'!D28,'1. Samenvatting'!$G$16:$N$20,5,FALSE),IF(C28='1. Samenvatting'!$L$9,VLOOKUP('2. Kostprijs per beheertype'!D28,'1. Samenvatting'!$G$16:$N$20,6,FALSE),IF(C28='1. Samenvatting'!$M$9,VLOOKUP('2. Kostprijs per beheertype'!D28,'1. Samenvatting'!$G$16:$N$20,7,FALSE),IF(C28='1. Samenvatting'!$N$9,VLOOKUP('2. Kostprijs per beheertype'!D28,'1. Samenvatting'!$G$16:$N$20,8,FALSE),"Nvt")))))))</f>
        <v>Nvt</v>
      </c>
      <c r="G28" s="368">
        <v>6</v>
      </c>
      <c r="H28" s="367">
        <f t="shared" si="0"/>
        <v>0</v>
      </c>
      <c r="I28" s="367">
        <f t="shared" si="1"/>
        <v>0</v>
      </c>
      <c r="J28" s="367">
        <f>'3. Parameters kostprijsmodel'!$F$36</f>
        <v>3.0089563425755728</v>
      </c>
      <c r="K28" s="399">
        <f>SUM(H28:H31)</f>
        <v>0</v>
      </c>
      <c r="L28" s="387">
        <f>SUM(I28:I31)</f>
        <v>0</v>
      </c>
    </row>
    <row r="29" spans="1:12" s="300" customFormat="1" ht="9.9499999999999993" customHeight="1" x14ac:dyDescent="0.15">
      <c r="A29" s="400" t="s">
        <v>48</v>
      </c>
      <c r="B29" s="400" t="s">
        <v>49</v>
      </c>
      <c r="C29" s="389" t="s">
        <v>25</v>
      </c>
      <c r="D29" s="390" t="str">
        <f>IF(C29='4. Beheertypen complexiteit'!$C$6,VLOOKUP('2. Kostprijs per beheertype'!A29,'4. Beheertypen complexiteit'!$A$8:$I$59,3,FALSE),IF(C29='4. Beheertypen complexiteit'!$D$6,VLOOKUP('2. Kostprijs per beheertype'!A29,'4. Beheertypen complexiteit'!$A$8:$I$59,4,FALSE),IF(C29='4. Beheertypen complexiteit'!$E$6,VLOOKUP('2. Kostprijs per beheertype'!A29,'4. Beheertypen complexiteit'!$A$8:$I$59,5,FALSE),IF(C29='4. Beheertypen complexiteit'!$F$6,VLOOKUP('2. Kostprijs per beheertype'!A29,'4. Beheertypen complexiteit'!$A$8:$I$59,6,FALSE),IF(C29='4. Beheertypen complexiteit'!$G$6,VLOOKUP('2. Kostprijs per beheertype'!A29,'4. Beheertypen complexiteit'!$A$8:$I$59,7,FALSE),IF(C29='4. Beheertypen complexiteit'!$H$6,VLOOKUP('2. Kostprijs per beheertype'!A29,'4. Beheertypen complexiteit'!$A$8:$I$59,8,FALSE),IF(C29='4. Beheertypen complexiteit'!$I$6,VLOOKUP('2. Kostprijs per beheertype'!A29,'4. Beheertypen complexiteit'!$A$8:$I$59,9,FALSE),"Nvt")))))))</f>
        <v>Nvt</v>
      </c>
      <c r="E29" s="391" t="str">
        <f>IF(C29='1. Samenvatting'!$H$9,VLOOKUP('2. Kostprijs per beheertype'!D29,'1. Samenvatting'!$G$9:$N$15,2,FALSE),IF(C29='1. Samenvatting'!$I$9,VLOOKUP('2. Kostprijs per beheertype'!D29,'1. Samenvatting'!$G$9:$N$15,3),IF(C29='1. Samenvatting'!$J$9,VLOOKUP('2. Kostprijs per beheertype'!D29,'1. Samenvatting'!$G$9:$N$15,4),IF(C29='1. Samenvatting'!$K$9,VLOOKUP('2. Kostprijs per beheertype'!D29,'1. Samenvatting'!$G$9:$N$15,5),IF(C29='1. Samenvatting'!$L$9,VLOOKUP('2. Kostprijs per beheertype'!D29,'1. Samenvatting'!$G$9:$N$15,6),IF(C29='1. Samenvatting'!$M$9,VLOOKUP('2. Kostprijs per beheertype'!D29,'1. Samenvatting'!$G$9:$N$15,7),IF(C29='1. Samenvatting'!$N$9,VLOOKUP('2. Kostprijs per beheertype'!D29,'1. Samenvatting'!$G$9:$N$15,8),"Nvt")))))))</f>
        <v>Nvt</v>
      </c>
      <c r="F29" s="391" t="str">
        <f>IF(C29='1. Samenvatting'!$H$9,VLOOKUP('2. Kostprijs per beheertype'!D29,'1. Samenvatting'!$G$16:$N$20,2,FALSE),IF(C29='1. Samenvatting'!$I$9,VLOOKUP('2. Kostprijs per beheertype'!D29,'1. Samenvatting'!$G$16:$N$20,3,FALSE),IF(C29='1. Samenvatting'!$J$9,VLOOKUP('2. Kostprijs per beheertype'!D29,'1. Samenvatting'!$G$16:$N$20,4,FALSE),IF(C29='1. Samenvatting'!$K$9,VLOOKUP('2. Kostprijs per beheertype'!D29,'1. Samenvatting'!$G$16:$N$20,5,FALSE),IF(C29='1. Samenvatting'!$L$9,VLOOKUP('2. Kostprijs per beheertype'!D29,'1. Samenvatting'!$G$16:$N$20,6,FALSE),IF(C29='1. Samenvatting'!$M$9,VLOOKUP('2. Kostprijs per beheertype'!D29,'1. Samenvatting'!$G$16:$N$20,7,FALSE),IF(C29='1. Samenvatting'!$N$9,VLOOKUP('2. Kostprijs per beheertype'!D29,'1. Samenvatting'!$G$16:$N$20,8,FALSE),"Nvt")))))))</f>
        <v>Nvt</v>
      </c>
      <c r="G29" s="392">
        <v>3</v>
      </c>
      <c r="H29" s="391">
        <f t="shared" si="0"/>
        <v>0</v>
      </c>
      <c r="I29" s="391">
        <f t="shared" si="1"/>
        <v>0</v>
      </c>
      <c r="J29" s="391"/>
      <c r="K29" s="393"/>
      <c r="L29" s="394"/>
    </row>
    <row r="30" spans="1:12" s="300" customFormat="1" ht="9.9499999999999993" customHeight="1" x14ac:dyDescent="0.15">
      <c r="A30" s="400" t="s">
        <v>48</v>
      </c>
      <c r="B30" s="400" t="s">
        <v>49</v>
      </c>
      <c r="C30" s="371" t="s">
        <v>155</v>
      </c>
      <c r="D30" s="372" t="str">
        <f>IF(C30='4. Beheertypen complexiteit'!$C$6,VLOOKUP('2. Kostprijs per beheertype'!A30,'4. Beheertypen complexiteit'!$A$8:$I$59,3,FALSE),IF(C30='4. Beheertypen complexiteit'!$D$6,VLOOKUP('2. Kostprijs per beheertype'!A30,'4. Beheertypen complexiteit'!$A$8:$I$59,4,FALSE),IF(C30='4. Beheertypen complexiteit'!$E$6,VLOOKUP('2. Kostprijs per beheertype'!A30,'4. Beheertypen complexiteit'!$A$8:$I$59,5,FALSE),IF(C30='4. Beheertypen complexiteit'!$F$6,VLOOKUP('2. Kostprijs per beheertype'!A30,'4. Beheertypen complexiteit'!$A$8:$I$59,6,FALSE),IF(C30='4. Beheertypen complexiteit'!$G$6,VLOOKUP('2. Kostprijs per beheertype'!A30,'4. Beheertypen complexiteit'!$A$8:$I$59,7,FALSE),IF(C30='4. Beheertypen complexiteit'!$H$6,VLOOKUP('2. Kostprijs per beheertype'!A30,'4. Beheertypen complexiteit'!$A$8:$I$59,8,FALSE),IF(C30='4. Beheertypen complexiteit'!$I$6,VLOOKUP('2. Kostprijs per beheertype'!A30,'4. Beheertypen complexiteit'!$A$8:$I$59,9,FALSE),"Nvt")))))))</f>
        <v>Nvt</v>
      </c>
      <c r="E30" s="373" t="str">
        <f>IF(C30='1. Samenvatting'!$H$9,VLOOKUP('2. Kostprijs per beheertype'!D30,'1. Samenvatting'!$G$9:$N$15,2,FALSE),IF(C30='1. Samenvatting'!$I$9,VLOOKUP('2. Kostprijs per beheertype'!D30,'1. Samenvatting'!$G$9:$N$15,3),IF(C30='1. Samenvatting'!$J$9,VLOOKUP('2. Kostprijs per beheertype'!D30,'1. Samenvatting'!$G$9:$N$15,4),IF(C30='1. Samenvatting'!$K$9,VLOOKUP('2. Kostprijs per beheertype'!D30,'1. Samenvatting'!$G$9:$N$15,5),IF(C30='1. Samenvatting'!$L$9,VLOOKUP('2. Kostprijs per beheertype'!D30,'1. Samenvatting'!$G$9:$N$15,6),IF(C30='1. Samenvatting'!$M$9,VLOOKUP('2. Kostprijs per beheertype'!D30,'1. Samenvatting'!$G$9:$N$15,7),IF(C30='1. Samenvatting'!$N$9,VLOOKUP('2. Kostprijs per beheertype'!D30,'1. Samenvatting'!$G$9:$N$15,8),"Nvt")))))))</f>
        <v>Nvt</v>
      </c>
      <c r="F30" s="373" t="str">
        <f>IF(C30='1. Samenvatting'!$H$9,VLOOKUP('2. Kostprijs per beheertype'!D30,'1. Samenvatting'!$G$16:$N$20,2,FALSE),IF(C30='1. Samenvatting'!$I$9,VLOOKUP('2. Kostprijs per beheertype'!D30,'1. Samenvatting'!$G$16:$N$20,3,FALSE),IF(C30='1. Samenvatting'!$J$9,VLOOKUP('2. Kostprijs per beheertype'!D30,'1. Samenvatting'!$G$16:$N$20,4,FALSE),IF(C30='1. Samenvatting'!$K$9,VLOOKUP('2. Kostprijs per beheertype'!D30,'1. Samenvatting'!$G$16:$N$20,5,FALSE),IF(C30='1. Samenvatting'!$L$9,VLOOKUP('2. Kostprijs per beheertype'!D30,'1. Samenvatting'!$G$16:$N$20,6,FALSE),IF(C30='1. Samenvatting'!$M$9,VLOOKUP('2. Kostprijs per beheertype'!D30,'1. Samenvatting'!$G$16:$N$20,7,FALSE),IF(C30='1. Samenvatting'!$N$9,VLOOKUP('2. Kostprijs per beheertype'!D30,'1. Samenvatting'!$G$16:$N$20,8,FALSE),"Nvt")))))))</f>
        <v>Nvt</v>
      </c>
      <c r="G30" s="374">
        <v>6</v>
      </c>
      <c r="H30" s="373">
        <f t="shared" si="0"/>
        <v>0</v>
      </c>
      <c r="I30" s="373">
        <f t="shared" si="1"/>
        <v>0</v>
      </c>
      <c r="J30" s="373"/>
      <c r="K30" s="393"/>
      <c r="L30" s="394"/>
    </row>
    <row r="31" spans="1:12" s="300" customFormat="1" ht="9.9499999999999993" customHeight="1" x14ac:dyDescent="0.15">
      <c r="A31" s="401" t="s">
        <v>48</v>
      </c>
      <c r="B31" s="401" t="s">
        <v>49</v>
      </c>
      <c r="C31" s="379" t="s">
        <v>16</v>
      </c>
      <c r="D31" s="380" t="str">
        <f>IF(C31='4. Beheertypen complexiteit'!$C$6,VLOOKUP('2. Kostprijs per beheertype'!A31,'4. Beheertypen complexiteit'!$A$8:$I$59,3,FALSE),IF(C31='4. Beheertypen complexiteit'!$D$6,VLOOKUP('2. Kostprijs per beheertype'!A31,'4. Beheertypen complexiteit'!$A$8:$I$59,4,FALSE),IF(C31='4. Beheertypen complexiteit'!$E$6,VLOOKUP('2. Kostprijs per beheertype'!A31,'4. Beheertypen complexiteit'!$A$8:$I$59,5,FALSE),IF(C31='4. Beheertypen complexiteit'!$F$6,VLOOKUP('2. Kostprijs per beheertype'!A31,'4. Beheertypen complexiteit'!$A$8:$I$59,6,FALSE),IF(C31='4. Beheertypen complexiteit'!$G$6,VLOOKUP('2. Kostprijs per beheertype'!A31,'4. Beheertypen complexiteit'!$A$8:$I$59,7,FALSE),IF(C31='4. Beheertypen complexiteit'!$H$6,VLOOKUP('2. Kostprijs per beheertype'!A31,'4. Beheertypen complexiteit'!$A$8:$I$59,8,FALSE),IF(C31='4. Beheertypen complexiteit'!$I$6,VLOOKUP('2. Kostprijs per beheertype'!A31,'4. Beheertypen complexiteit'!$A$8:$I$59,9,FALSE),"Nvt")))))))</f>
        <v>Nvt</v>
      </c>
      <c r="E31" s="381" t="str">
        <f>IF(C31='1. Samenvatting'!$H$9,VLOOKUP('2. Kostprijs per beheertype'!D31,'1. Samenvatting'!$G$9:$N$15,2,FALSE),IF(C31='1. Samenvatting'!$I$9,VLOOKUP('2. Kostprijs per beheertype'!D31,'1. Samenvatting'!$G$9:$N$15,3),IF(C31='1. Samenvatting'!$J$9,VLOOKUP('2. Kostprijs per beheertype'!D31,'1. Samenvatting'!$G$9:$N$15,4),IF(C31='1. Samenvatting'!$K$9,VLOOKUP('2. Kostprijs per beheertype'!D31,'1. Samenvatting'!$G$9:$N$15,5),IF(C31='1. Samenvatting'!$L$9,VLOOKUP('2. Kostprijs per beheertype'!D31,'1. Samenvatting'!$G$9:$N$15,6),IF(C31='1. Samenvatting'!$M$9,VLOOKUP('2. Kostprijs per beheertype'!D31,'1. Samenvatting'!$G$9:$N$15,7),IF(C31='1. Samenvatting'!$N$9,VLOOKUP('2. Kostprijs per beheertype'!D31,'1. Samenvatting'!$G$9:$N$15,8),"Nvt")))))))</f>
        <v>Nvt</v>
      </c>
      <c r="F31" s="381" t="str">
        <f>IF(C31='1. Samenvatting'!$H$9,VLOOKUP('2. Kostprijs per beheertype'!D31,'1. Samenvatting'!$G$16:$N$20,2,FALSE),IF(C31='1. Samenvatting'!$I$9,VLOOKUP('2. Kostprijs per beheertype'!D31,'1. Samenvatting'!$G$16:$N$20,3,FALSE),IF(C31='1. Samenvatting'!$J$9,VLOOKUP('2. Kostprijs per beheertype'!D31,'1. Samenvatting'!$G$16:$N$20,4,FALSE),IF(C31='1. Samenvatting'!$K$9,VLOOKUP('2. Kostprijs per beheertype'!D31,'1. Samenvatting'!$G$16:$N$20,5,FALSE),IF(C31='1. Samenvatting'!$L$9,VLOOKUP('2. Kostprijs per beheertype'!D31,'1. Samenvatting'!$G$16:$N$20,6,FALSE),IF(C31='1. Samenvatting'!$M$9,VLOOKUP('2. Kostprijs per beheertype'!D31,'1. Samenvatting'!$G$16:$N$20,7,FALSE),IF(C31='1. Samenvatting'!$N$9,VLOOKUP('2. Kostprijs per beheertype'!D31,'1. Samenvatting'!$G$16:$N$20,8,FALSE),"Nvt")))))))</f>
        <v>Nvt</v>
      </c>
      <c r="G31" s="382">
        <v>12</v>
      </c>
      <c r="H31" s="381">
        <f t="shared" si="0"/>
        <v>0</v>
      </c>
      <c r="I31" s="381">
        <f t="shared" si="1"/>
        <v>0</v>
      </c>
      <c r="J31" s="381"/>
      <c r="K31" s="396"/>
      <c r="L31" s="397"/>
    </row>
    <row r="32" spans="1:12" s="300" customFormat="1" ht="9.9499999999999993" customHeight="1" x14ac:dyDescent="0.15">
      <c r="A32" s="398" t="s">
        <v>50</v>
      </c>
      <c r="B32" s="398" t="s">
        <v>51</v>
      </c>
      <c r="C32" s="365" t="s">
        <v>19</v>
      </c>
      <c r="D32" s="366" t="str">
        <f>IF(C32='4. Beheertypen complexiteit'!$C$6,VLOOKUP('2. Kostprijs per beheertype'!A32,'4. Beheertypen complexiteit'!$A$8:$I$59,3,FALSE),IF(C32='4. Beheertypen complexiteit'!$D$6,VLOOKUP('2. Kostprijs per beheertype'!A32,'4. Beheertypen complexiteit'!$A$8:$I$59,4,FALSE),IF(C32='4. Beheertypen complexiteit'!$E$6,VLOOKUP('2. Kostprijs per beheertype'!A32,'4. Beheertypen complexiteit'!$A$8:$I$59,5,FALSE),IF(C32='4. Beheertypen complexiteit'!$F$6,VLOOKUP('2. Kostprijs per beheertype'!A32,'4. Beheertypen complexiteit'!$A$8:$I$59,6,FALSE),IF(C32='4. Beheertypen complexiteit'!$G$6,VLOOKUP('2. Kostprijs per beheertype'!A32,'4. Beheertypen complexiteit'!$A$8:$I$59,7,FALSE),IF(C32='4. Beheertypen complexiteit'!$H$6,VLOOKUP('2. Kostprijs per beheertype'!A32,'4. Beheertypen complexiteit'!$A$8:$I$59,8,FALSE),IF(C32='4. Beheertypen complexiteit'!$I$6,VLOOKUP('2. Kostprijs per beheertype'!A32,'4. Beheertypen complexiteit'!$A$8:$I$59,9,FALSE),"Nvt")))))))</f>
        <v>Nvt</v>
      </c>
      <c r="E32" s="367" t="str">
        <f>IF(C32='1. Samenvatting'!$H$9,VLOOKUP('2. Kostprijs per beheertype'!D32,'1. Samenvatting'!$G$9:$N$15,2,FALSE),IF(C32='1. Samenvatting'!$I$9,VLOOKUP('2. Kostprijs per beheertype'!D32,'1. Samenvatting'!$G$9:$N$15,3),IF(C32='1. Samenvatting'!$J$9,VLOOKUP('2. Kostprijs per beheertype'!D32,'1. Samenvatting'!$G$9:$N$15,4),IF(C32='1. Samenvatting'!$K$9,VLOOKUP('2. Kostprijs per beheertype'!D32,'1. Samenvatting'!$G$9:$N$15,5),IF(C32='1. Samenvatting'!$L$9,VLOOKUP('2. Kostprijs per beheertype'!D32,'1. Samenvatting'!$G$9:$N$15,6),IF(C32='1. Samenvatting'!$M$9,VLOOKUP('2. Kostprijs per beheertype'!D32,'1. Samenvatting'!$G$9:$N$15,7),IF(C32='1. Samenvatting'!$N$9,VLOOKUP('2. Kostprijs per beheertype'!D32,'1. Samenvatting'!$G$9:$N$15,8),"Nvt")))))))</f>
        <v>Nvt</v>
      </c>
      <c r="F32" s="367" t="str">
        <f>IF(C32='1. Samenvatting'!$H$9,VLOOKUP('2. Kostprijs per beheertype'!D32,'1. Samenvatting'!$G$16:$N$20,2,FALSE),IF(C32='1. Samenvatting'!$I$9,VLOOKUP('2. Kostprijs per beheertype'!D32,'1. Samenvatting'!$G$16:$N$20,3,FALSE),IF(C32='1. Samenvatting'!$J$9,VLOOKUP('2. Kostprijs per beheertype'!D32,'1. Samenvatting'!$G$16:$N$20,4,FALSE),IF(C32='1. Samenvatting'!$K$9,VLOOKUP('2. Kostprijs per beheertype'!D32,'1. Samenvatting'!$G$16:$N$20,5,FALSE),IF(C32='1. Samenvatting'!$L$9,VLOOKUP('2. Kostprijs per beheertype'!D32,'1. Samenvatting'!$G$16:$N$20,6,FALSE),IF(C32='1. Samenvatting'!$M$9,VLOOKUP('2. Kostprijs per beheertype'!D32,'1. Samenvatting'!$G$16:$N$20,7,FALSE),IF(C32='1. Samenvatting'!$N$9,VLOOKUP('2. Kostprijs per beheertype'!D32,'1. Samenvatting'!$G$16:$N$20,8,FALSE),"Nvt")))))))</f>
        <v>Nvt</v>
      </c>
      <c r="G32" s="368">
        <v>6</v>
      </c>
      <c r="H32" s="367">
        <f t="shared" si="0"/>
        <v>0</v>
      </c>
      <c r="I32" s="367">
        <f t="shared" si="1"/>
        <v>0</v>
      </c>
      <c r="J32" s="367">
        <f>'3. Parameters kostprijsmodel'!$F$36</f>
        <v>3.0089563425755728</v>
      </c>
      <c r="K32" s="399">
        <f>SUM(H32:H35)</f>
        <v>0</v>
      </c>
      <c r="L32" s="387">
        <f>SUM(I32:I35)</f>
        <v>0</v>
      </c>
    </row>
    <row r="33" spans="1:12" s="300" customFormat="1" ht="9.9499999999999993" customHeight="1" x14ac:dyDescent="0.15">
      <c r="A33" s="400" t="s">
        <v>50</v>
      </c>
      <c r="B33" s="400" t="s">
        <v>51</v>
      </c>
      <c r="C33" s="389" t="s">
        <v>25</v>
      </c>
      <c r="D33" s="390" t="str">
        <f>IF(C33='4. Beheertypen complexiteit'!$C$6,VLOOKUP('2. Kostprijs per beheertype'!A33,'4. Beheertypen complexiteit'!$A$8:$I$59,3,FALSE),IF(C33='4. Beheertypen complexiteit'!$D$6,VLOOKUP('2. Kostprijs per beheertype'!A33,'4. Beheertypen complexiteit'!$A$8:$I$59,4,FALSE),IF(C33='4. Beheertypen complexiteit'!$E$6,VLOOKUP('2. Kostprijs per beheertype'!A33,'4. Beheertypen complexiteit'!$A$8:$I$59,5,FALSE),IF(C33='4. Beheertypen complexiteit'!$F$6,VLOOKUP('2. Kostprijs per beheertype'!A33,'4. Beheertypen complexiteit'!$A$8:$I$59,6,FALSE),IF(C33='4. Beheertypen complexiteit'!$G$6,VLOOKUP('2. Kostprijs per beheertype'!A33,'4. Beheertypen complexiteit'!$A$8:$I$59,7,FALSE),IF(C33='4. Beheertypen complexiteit'!$H$6,VLOOKUP('2. Kostprijs per beheertype'!A33,'4. Beheertypen complexiteit'!$A$8:$I$59,8,FALSE),IF(C33='4. Beheertypen complexiteit'!$I$6,VLOOKUP('2. Kostprijs per beheertype'!A33,'4. Beheertypen complexiteit'!$A$8:$I$59,9,FALSE),"Nvt")))))))</f>
        <v>Nvt</v>
      </c>
      <c r="E33" s="391" t="str">
        <f>IF(C33='1. Samenvatting'!$H$9,VLOOKUP('2. Kostprijs per beheertype'!D33,'1. Samenvatting'!$G$9:$N$15,2,FALSE),IF(C33='1. Samenvatting'!$I$9,VLOOKUP('2. Kostprijs per beheertype'!D33,'1. Samenvatting'!$G$9:$N$15,3),IF(C33='1. Samenvatting'!$J$9,VLOOKUP('2. Kostprijs per beheertype'!D33,'1. Samenvatting'!$G$9:$N$15,4),IF(C33='1. Samenvatting'!$K$9,VLOOKUP('2. Kostprijs per beheertype'!D33,'1. Samenvatting'!$G$9:$N$15,5),IF(C33='1. Samenvatting'!$L$9,VLOOKUP('2. Kostprijs per beheertype'!D33,'1. Samenvatting'!$G$9:$N$15,6),IF(C33='1. Samenvatting'!$M$9,VLOOKUP('2. Kostprijs per beheertype'!D33,'1. Samenvatting'!$G$9:$N$15,7),IF(C33='1. Samenvatting'!$N$9,VLOOKUP('2. Kostprijs per beheertype'!D33,'1. Samenvatting'!$G$9:$N$15,8),"Nvt")))))))</f>
        <v>Nvt</v>
      </c>
      <c r="F33" s="391" t="str">
        <f>IF(C33='1. Samenvatting'!$H$9,VLOOKUP('2. Kostprijs per beheertype'!D33,'1. Samenvatting'!$G$16:$N$20,2,FALSE),IF(C33='1. Samenvatting'!$I$9,VLOOKUP('2. Kostprijs per beheertype'!D33,'1. Samenvatting'!$G$16:$N$20,3,FALSE),IF(C33='1. Samenvatting'!$J$9,VLOOKUP('2. Kostprijs per beheertype'!D33,'1. Samenvatting'!$G$16:$N$20,4,FALSE),IF(C33='1. Samenvatting'!$K$9,VLOOKUP('2. Kostprijs per beheertype'!D33,'1. Samenvatting'!$G$16:$N$20,5,FALSE),IF(C33='1. Samenvatting'!$L$9,VLOOKUP('2. Kostprijs per beheertype'!D33,'1. Samenvatting'!$G$16:$N$20,6,FALSE),IF(C33='1. Samenvatting'!$M$9,VLOOKUP('2. Kostprijs per beheertype'!D33,'1. Samenvatting'!$G$16:$N$20,7,FALSE),IF(C33='1. Samenvatting'!$N$9,VLOOKUP('2. Kostprijs per beheertype'!D33,'1. Samenvatting'!$G$16:$N$20,8,FALSE),"Nvt")))))))</f>
        <v>Nvt</v>
      </c>
      <c r="G33" s="392">
        <v>3</v>
      </c>
      <c r="H33" s="391">
        <f t="shared" si="0"/>
        <v>0</v>
      </c>
      <c r="I33" s="391">
        <f t="shared" si="1"/>
        <v>0</v>
      </c>
      <c r="J33" s="391"/>
      <c r="K33" s="393"/>
      <c r="L33" s="394"/>
    </row>
    <row r="34" spans="1:12" s="300" customFormat="1" ht="9.9499999999999993" customHeight="1" x14ac:dyDescent="0.15">
      <c r="A34" s="400" t="s">
        <v>50</v>
      </c>
      <c r="B34" s="400" t="s">
        <v>51</v>
      </c>
      <c r="C34" s="371" t="s">
        <v>155</v>
      </c>
      <c r="D34" s="372" t="str">
        <f>IF(C34='4. Beheertypen complexiteit'!$C$6,VLOOKUP('2. Kostprijs per beheertype'!A34,'4. Beheertypen complexiteit'!$A$8:$I$59,3,FALSE),IF(C34='4. Beheertypen complexiteit'!$D$6,VLOOKUP('2. Kostprijs per beheertype'!A34,'4. Beheertypen complexiteit'!$A$8:$I$59,4,FALSE),IF(C34='4. Beheertypen complexiteit'!$E$6,VLOOKUP('2. Kostprijs per beheertype'!A34,'4. Beheertypen complexiteit'!$A$8:$I$59,5,FALSE),IF(C34='4. Beheertypen complexiteit'!$F$6,VLOOKUP('2. Kostprijs per beheertype'!A34,'4. Beheertypen complexiteit'!$A$8:$I$59,6,FALSE),IF(C34='4. Beheertypen complexiteit'!$G$6,VLOOKUP('2. Kostprijs per beheertype'!A34,'4. Beheertypen complexiteit'!$A$8:$I$59,7,FALSE),IF(C34='4. Beheertypen complexiteit'!$H$6,VLOOKUP('2. Kostprijs per beheertype'!A34,'4. Beheertypen complexiteit'!$A$8:$I$59,8,FALSE),IF(C34='4. Beheertypen complexiteit'!$I$6,VLOOKUP('2. Kostprijs per beheertype'!A34,'4. Beheertypen complexiteit'!$A$8:$I$59,9,FALSE),"Nvt")))))))</f>
        <v>Nvt</v>
      </c>
      <c r="E34" s="373" t="str">
        <f>IF(C34='1. Samenvatting'!$H$9,VLOOKUP('2. Kostprijs per beheertype'!D34,'1. Samenvatting'!$G$9:$N$15,2,FALSE),IF(C34='1. Samenvatting'!$I$9,VLOOKUP('2. Kostprijs per beheertype'!D34,'1. Samenvatting'!$G$9:$N$15,3),IF(C34='1. Samenvatting'!$J$9,VLOOKUP('2. Kostprijs per beheertype'!D34,'1. Samenvatting'!$G$9:$N$15,4),IF(C34='1. Samenvatting'!$K$9,VLOOKUP('2. Kostprijs per beheertype'!D34,'1. Samenvatting'!$G$9:$N$15,5),IF(C34='1. Samenvatting'!$L$9,VLOOKUP('2. Kostprijs per beheertype'!D34,'1. Samenvatting'!$G$9:$N$15,6),IF(C34='1. Samenvatting'!$M$9,VLOOKUP('2. Kostprijs per beheertype'!D34,'1. Samenvatting'!$G$9:$N$15,7),IF(C34='1. Samenvatting'!$N$9,VLOOKUP('2. Kostprijs per beheertype'!D34,'1. Samenvatting'!$G$9:$N$15,8),"Nvt")))))))</f>
        <v>Nvt</v>
      </c>
      <c r="F34" s="373" t="str">
        <f>IF(C34='1. Samenvatting'!$H$9,VLOOKUP('2. Kostprijs per beheertype'!D34,'1. Samenvatting'!$G$16:$N$20,2,FALSE),IF(C34='1. Samenvatting'!$I$9,VLOOKUP('2. Kostprijs per beheertype'!D34,'1. Samenvatting'!$G$16:$N$20,3,FALSE),IF(C34='1. Samenvatting'!$J$9,VLOOKUP('2. Kostprijs per beheertype'!D34,'1. Samenvatting'!$G$16:$N$20,4,FALSE),IF(C34='1. Samenvatting'!$K$9,VLOOKUP('2. Kostprijs per beheertype'!D34,'1. Samenvatting'!$G$16:$N$20,5,FALSE),IF(C34='1. Samenvatting'!$L$9,VLOOKUP('2. Kostprijs per beheertype'!D34,'1. Samenvatting'!$G$16:$N$20,6,FALSE),IF(C34='1. Samenvatting'!$M$9,VLOOKUP('2. Kostprijs per beheertype'!D34,'1. Samenvatting'!$G$16:$N$20,7,FALSE),IF(C34='1. Samenvatting'!$N$9,VLOOKUP('2. Kostprijs per beheertype'!D34,'1. Samenvatting'!$G$16:$N$20,8,FALSE),"Nvt")))))))</f>
        <v>Nvt</v>
      </c>
      <c r="G34" s="374">
        <v>6</v>
      </c>
      <c r="H34" s="373">
        <f t="shared" si="0"/>
        <v>0</v>
      </c>
      <c r="I34" s="373">
        <f t="shared" si="1"/>
        <v>0</v>
      </c>
      <c r="J34" s="373"/>
      <c r="K34" s="393"/>
      <c r="L34" s="394"/>
    </row>
    <row r="35" spans="1:12" s="300" customFormat="1" ht="9.9499999999999993" customHeight="1" x14ac:dyDescent="0.15">
      <c r="A35" s="401" t="s">
        <v>50</v>
      </c>
      <c r="B35" s="401" t="s">
        <v>51</v>
      </c>
      <c r="C35" s="379" t="s">
        <v>16</v>
      </c>
      <c r="D35" s="380" t="str">
        <f>IF(C35='4. Beheertypen complexiteit'!$C$6,VLOOKUP('2. Kostprijs per beheertype'!A35,'4. Beheertypen complexiteit'!$A$8:$I$59,3,FALSE),IF(C35='4. Beheertypen complexiteit'!$D$6,VLOOKUP('2. Kostprijs per beheertype'!A35,'4. Beheertypen complexiteit'!$A$8:$I$59,4,FALSE),IF(C35='4. Beheertypen complexiteit'!$E$6,VLOOKUP('2. Kostprijs per beheertype'!A35,'4. Beheertypen complexiteit'!$A$8:$I$59,5,FALSE),IF(C35='4. Beheertypen complexiteit'!$F$6,VLOOKUP('2. Kostprijs per beheertype'!A35,'4. Beheertypen complexiteit'!$A$8:$I$59,6,FALSE),IF(C35='4. Beheertypen complexiteit'!$G$6,VLOOKUP('2. Kostprijs per beheertype'!A35,'4. Beheertypen complexiteit'!$A$8:$I$59,7,FALSE),IF(C35='4. Beheertypen complexiteit'!$H$6,VLOOKUP('2. Kostprijs per beheertype'!A35,'4. Beheertypen complexiteit'!$A$8:$I$59,8,FALSE),IF(C35='4. Beheertypen complexiteit'!$I$6,VLOOKUP('2. Kostprijs per beheertype'!A35,'4. Beheertypen complexiteit'!$A$8:$I$59,9,FALSE),"Nvt")))))))</f>
        <v>Nvt</v>
      </c>
      <c r="E35" s="381" t="str">
        <f>IF(C35='1. Samenvatting'!$H$9,VLOOKUP('2. Kostprijs per beheertype'!D35,'1. Samenvatting'!$G$9:$N$15,2,FALSE),IF(C35='1. Samenvatting'!$I$9,VLOOKUP('2. Kostprijs per beheertype'!D35,'1. Samenvatting'!$G$9:$N$15,3),IF(C35='1. Samenvatting'!$J$9,VLOOKUP('2. Kostprijs per beheertype'!D35,'1. Samenvatting'!$G$9:$N$15,4),IF(C35='1. Samenvatting'!$K$9,VLOOKUP('2. Kostprijs per beheertype'!D35,'1. Samenvatting'!$G$9:$N$15,5),IF(C35='1. Samenvatting'!$L$9,VLOOKUP('2. Kostprijs per beheertype'!D35,'1. Samenvatting'!$G$9:$N$15,6),IF(C35='1. Samenvatting'!$M$9,VLOOKUP('2. Kostprijs per beheertype'!D35,'1. Samenvatting'!$G$9:$N$15,7),IF(C35='1. Samenvatting'!$N$9,VLOOKUP('2. Kostprijs per beheertype'!D35,'1. Samenvatting'!$G$9:$N$15,8),"Nvt")))))))</f>
        <v>Nvt</v>
      </c>
      <c r="F35" s="381" t="str">
        <f>IF(C35='1. Samenvatting'!$H$9,VLOOKUP('2. Kostprijs per beheertype'!D35,'1. Samenvatting'!$G$16:$N$20,2,FALSE),IF(C35='1. Samenvatting'!$I$9,VLOOKUP('2. Kostprijs per beheertype'!D35,'1. Samenvatting'!$G$16:$N$20,3,FALSE),IF(C35='1. Samenvatting'!$J$9,VLOOKUP('2. Kostprijs per beheertype'!D35,'1. Samenvatting'!$G$16:$N$20,4,FALSE),IF(C35='1. Samenvatting'!$K$9,VLOOKUP('2. Kostprijs per beheertype'!D35,'1. Samenvatting'!$G$16:$N$20,5,FALSE),IF(C35='1. Samenvatting'!$L$9,VLOOKUP('2. Kostprijs per beheertype'!D35,'1. Samenvatting'!$G$16:$N$20,6,FALSE),IF(C35='1. Samenvatting'!$M$9,VLOOKUP('2. Kostprijs per beheertype'!D35,'1. Samenvatting'!$G$16:$N$20,7,FALSE),IF(C35='1. Samenvatting'!$N$9,VLOOKUP('2. Kostprijs per beheertype'!D35,'1. Samenvatting'!$G$16:$N$20,8,FALSE),"Nvt")))))))</f>
        <v>Nvt</v>
      </c>
      <c r="G35" s="382">
        <v>12</v>
      </c>
      <c r="H35" s="381">
        <f t="shared" si="0"/>
        <v>0</v>
      </c>
      <c r="I35" s="381">
        <f t="shared" si="1"/>
        <v>0</v>
      </c>
      <c r="J35" s="381"/>
      <c r="K35" s="396"/>
      <c r="L35" s="397"/>
    </row>
    <row r="36" spans="1:12" s="300" customFormat="1" ht="9.9499999999999993" customHeight="1" x14ac:dyDescent="0.15">
      <c r="A36" s="398" t="s">
        <v>52</v>
      </c>
      <c r="B36" s="398" t="s">
        <v>53</v>
      </c>
      <c r="C36" s="365" t="s">
        <v>19</v>
      </c>
      <c r="D36" s="366" t="str">
        <f>IF(C36='4. Beheertypen complexiteit'!$C$6,VLOOKUP('2. Kostprijs per beheertype'!A36,'4. Beheertypen complexiteit'!$A$8:$I$59,3,FALSE),IF(C36='4. Beheertypen complexiteit'!$D$6,VLOOKUP('2. Kostprijs per beheertype'!A36,'4. Beheertypen complexiteit'!$A$8:$I$59,4,FALSE),IF(C36='4. Beheertypen complexiteit'!$E$6,VLOOKUP('2. Kostprijs per beheertype'!A36,'4. Beheertypen complexiteit'!$A$8:$I$59,5,FALSE),IF(C36='4. Beheertypen complexiteit'!$F$6,VLOOKUP('2. Kostprijs per beheertype'!A36,'4. Beheertypen complexiteit'!$A$8:$I$59,6,FALSE),IF(C36='4. Beheertypen complexiteit'!$G$6,VLOOKUP('2. Kostprijs per beheertype'!A36,'4. Beheertypen complexiteit'!$A$8:$I$59,7,FALSE),IF(C36='4. Beheertypen complexiteit'!$H$6,VLOOKUP('2. Kostprijs per beheertype'!A36,'4. Beheertypen complexiteit'!$A$8:$I$59,8,FALSE),IF(C36='4. Beheertypen complexiteit'!$I$6,VLOOKUP('2. Kostprijs per beheertype'!A36,'4. Beheertypen complexiteit'!$A$8:$I$59,9,FALSE),"Nvt")))))))</f>
        <v>Nvt</v>
      </c>
      <c r="E36" s="367" t="str">
        <f>IF(C36='1. Samenvatting'!$H$9,VLOOKUP('2. Kostprijs per beheertype'!D36,'1. Samenvatting'!$G$9:$N$15,2,FALSE),IF(C36='1. Samenvatting'!$I$9,VLOOKUP('2. Kostprijs per beheertype'!D36,'1. Samenvatting'!$G$9:$N$15,3),IF(C36='1. Samenvatting'!$J$9,VLOOKUP('2. Kostprijs per beheertype'!D36,'1. Samenvatting'!$G$9:$N$15,4),IF(C36='1. Samenvatting'!$K$9,VLOOKUP('2. Kostprijs per beheertype'!D36,'1. Samenvatting'!$G$9:$N$15,5),IF(C36='1. Samenvatting'!$L$9,VLOOKUP('2. Kostprijs per beheertype'!D36,'1. Samenvatting'!$G$9:$N$15,6),IF(C36='1. Samenvatting'!$M$9,VLOOKUP('2. Kostprijs per beheertype'!D36,'1. Samenvatting'!$G$9:$N$15,7),IF(C36='1. Samenvatting'!$N$9,VLOOKUP('2. Kostprijs per beheertype'!D36,'1. Samenvatting'!$G$9:$N$15,8),"Nvt")))))))</f>
        <v>Nvt</v>
      </c>
      <c r="F36" s="367" t="str">
        <f>IF(C36='1. Samenvatting'!$H$9,VLOOKUP('2. Kostprijs per beheertype'!D36,'1. Samenvatting'!$G$16:$N$20,2,FALSE),IF(C36='1. Samenvatting'!$I$9,VLOOKUP('2. Kostprijs per beheertype'!D36,'1. Samenvatting'!$G$16:$N$20,3,FALSE),IF(C36='1. Samenvatting'!$J$9,VLOOKUP('2. Kostprijs per beheertype'!D36,'1. Samenvatting'!$G$16:$N$20,4,FALSE),IF(C36='1. Samenvatting'!$K$9,VLOOKUP('2. Kostprijs per beheertype'!D36,'1. Samenvatting'!$G$16:$N$20,5,FALSE),IF(C36='1. Samenvatting'!$L$9,VLOOKUP('2. Kostprijs per beheertype'!D36,'1. Samenvatting'!$G$16:$N$20,6,FALSE),IF(C36='1. Samenvatting'!$M$9,VLOOKUP('2. Kostprijs per beheertype'!D36,'1. Samenvatting'!$G$16:$N$20,7,FALSE),IF(C36='1. Samenvatting'!$N$9,VLOOKUP('2. Kostprijs per beheertype'!D36,'1. Samenvatting'!$G$16:$N$20,8,FALSE),"Nvt")))))))</f>
        <v>Nvt</v>
      </c>
      <c r="G36" s="368">
        <v>6</v>
      </c>
      <c r="H36" s="367">
        <f t="shared" si="0"/>
        <v>0</v>
      </c>
      <c r="I36" s="367">
        <f t="shared" si="1"/>
        <v>0</v>
      </c>
      <c r="J36" s="367">
        <f>'3. Parameters kostprijsmodel'!$F$36</f>
        <v>3.0089563425755728</v>
      </c>
      <c r="K36" s="399">
        <f>SUM(H36:H39)</f>
        <v>0</v>
      </c>
      <c r="L36" s="387">
        <f>SUM(I36:I39)</f>
        <v>0</v>
      </c>
    </row>
    <row r="37" spans="1:12" s="300" customFormat="1" ht="9.9499999999999993" customHeight="1" x14ac:dyDescent="0.15">
      <c r="A37" s="400" t="s">
        <v>52</v>
      </c>
      <c r="B37" s="400" t="s">
        <v>53</v>
      </c>
      <c r="C37" s="389" t="s">
        <v>25</v>
      </c>
      <c r="D37" s="390" t="str">
        <f>IF(C37='4. Beheertypen complexiteit'!$C$6,VLOOKUP('2. Kostprijs per beheertype'!A37,'4. Beheertypen complexiteit'!$A$8:$I$59,3,FALSE),IF(C37='4. Beheertypen complexiteit'!$D$6,VLOOKUP('2. Kostprijs per beheertype'!A37,'4. Beheertypen complexiteit'!$A$8:$I$59,4,FALSE),IF(C37='4. Beheertypen complexiteit'!$E$6,VLOOKUP('2. Kostprijs per beheertype'!A37,'4. Beheertypen complexiteit'!$A$8:$I$59,5,FALSE),IF(C37='4. Beheertypen complexiteit'!$F$6,VLOOKUP('2. Kostprijs per beheertype'!A37,'4. Beheertypen complexiteit'!$A$8:$I$59,6,FALSE),IF(C37='4. Beheertypen complexiteit'!$G$6,VLOOKUP('2. Kostprijs per beheertype'!A37,'4. Beheertypen complexiteit'!$A$8:$I$59,7,FALSE),IF(C37='4. Beheertypen complexiteit'!$H$6,VLOOKUP('2. Kostprijs per beheertype'!A37,'4. Beheertypen complexiteit'!$A$8:$I$59,8,FALSE),IF(C37='4. Beheertypen complexiteit'!$I$6,VLOOKUP('2. Kostprijs per beheertype'!A37,'4. Beheertypen complexiteit'!$A$8:$I$59,9,FALSE),"Nvt")))))))</f>
        <v>Nvt</v>
      </c>
      <c r="E37" s="391" t="str">
        <f>IF(C37='1. Samenvatting'!$H$9,VLOOKUP('2. Kostprijs per beheertype'!D37,'1. Samenvatting'!$G$9:$N$15,2,FALSE),IF(C37='1. Samenvatting'!$I$9,VLOOKUP('2. Kostprijs per beheertype'!D37,'1. Samenvatting'!$G$9:$N$15,3),IF(C37='1. Samenvatting'!$J$9,VLOOKUP('2. Kostprijs per beheertype'!D37,'1. Samenvatting'!$G$9:$N$15,4),IF(C37='1. Samenvatting'!$K$9,VLOOKUP('2. Kostprijs per beheertype'!D37,'1. Samenvatting'!$G$9:$N$15,5),IF(C37='1. Samenvatting'!$L$9,VLOOKUP('2. Kostprijs per beheertype'!D37,'1. Samenvatting'!$G$9:$N$15,6),IF(C37='1. Samenvatting'!$M$9,VLOOKUP('2. Kostprijs per beheertype'!D37,'1. Samenvatting'!$G$9:$N$15,7),IF(C37='1. Samenvatting'!$N$9,VLOOKUP('2. Kostprijs per beheertype'!D37,'1. Samenvatting'!$G$9:$N$15,8),"Nvt")))))))</f>
        <v>Nvt</v>
      </c>
      <c r="F37" s="391" t="str">
        <f>IF(C37='1. Samenvatting'!$H$9,VLOOKUP('2. Kostprijs per beheertype'!D37,'1. Samenvatting'!$G$16:$N$20,2,FALSE),IF(C37='1. Samenvatting'!$I$9,VLOOKUP('2. Kostprijs per beheertype'!D37,'1. Samenvatting'!$G$16:$N$20,3,FALSE),IF(C37='1. Samenvatting'!$J$9,VLOOKUP('2. Kostprijs per beheertype'!D37,'1. Samenvatting'!$G$16:$N$20,4,FALSE),IF(C37='1. Samenvatting'!$K$9,VLOOKUP('2. Kostprijs per beheertype'!D37,'1. Samenvatting'!$G$16:$N$20,5,FALSE),IF(C37='1. Samenvatting'!$L$9,VLOOKUP('2. Kostprijs per beheertype'!D37,'1. Samenvatting'!$G$16:$N$20,6,FALSE),IF(C37='1. Samenvatting'!$M$9,VLOOKUP('2. Kostprijs per beheertype'!D37,'1. Samenvatting'!$G$16:$N$20,7,FALSE),IF(C37='1. Samenvatting'!$N$9,VLOOKUP('2. Kostprijs per beheertype'!D37,'1. Samenvatting'!$G$16:$N$20,8,FALSE),"Nvt")))))))</f>
        <v>Nvt</v>
      </c>
      <c r="G37" s="392">
        <v>3</v>
      </c>
      <c r="H37" s="391">
        <f t="shared" si="0"/>
        <v>0</v>
      </c>
      <c r="I37" s="391">
        <f t="shared" si="1"/>
        <v>0</v>
      </c>
      <c r="J37" s="391"/>
      <c r="K37" s="393"/>
      <c r="L37" s="394"/>
    </row>
    <row r="38" spans="1:12" s="300" customFormat="1" ht="9.9499999999999993" customHeight="1" x14ac:dyDescent="0.15">
      <c r="A38" s="400" t="s">
        <v>52</v>
      </c>
      <c r="B38" s="400" t="s">
        <v>53</v>
      </c>
      <c r="C38" s="371" t="s">
        <v>155</v>
      </c>
      <c r="D38" s="372" t="str">
        <f>IF(C38='4. Beheertypen complexiteit'!$C$6,VLOOKUP('2. Kostprijs per beheertype'!A38,'4. Beheertypen complexiteit'!$A$8:$I$59,3,FALSE),IF(C38='4. Beheertypen complexiteit'!$D$6,VLOOKUP('2. Kostprijs per beheertype'!A38,'4. Beheertypen complexiteit'!$A$8:$I$59,4,FALSE),IF(C38='4. Beheertypen complexiteit'!$E$6,VLOOKUP('2. Kostprijs per beheertype'!A38,'4. Beheertypen complexiteit'!$A$8:$I$59,5,FALSE),IF(C38='4. Beheertypen complexiteit'!$F$6,VLOOKUP('2. Kostprijs per beheertype'!A38,'4. Beheertypen complexiteit'!$A$8:$I$59,6,FALSE),IF(C38='4. Beheertypen complexiteit'!$G$6,VLOOKUP('2. Kostprijs per beheertype'!A38,'4. Beheertypen complexiteit'!$A$8:$I$59,7,FALSE),IF(C38='4. Beheertypen complexiteit'!$H$6,VLOOKUP('2. Kostprijs per beheertype'!A38,'4. Beheertypen complexiteit'!$A$8:$I$59,8,FALSE),IF(C38='4. Beheertypen complexiteit'!$I$6,VLOOKUP('2. Kostprijs per beheertype'!A38,'4. Beheertypen complexiteit'!$A$8:$I$59,9,FALSE),"Nvt")))))))</f>
        <v>Nvt</v>
      </c>
      <c r="E38" s="373" t="str">
        <f>IF(C38='1. Samenvatting'!$H$9,VLOOKUP('2. Kostprijs per beheertype'!D38,'1. Samenvatting'!$G$9:$N$15,2,FALSE),IF(C38='1. Samenvatting'!$I$9,VLOOKUP('2. Kostprijs per beheertype'!D38,'1. Samenvatting'!$G$9:$N$15,3),IF(C38='1. Samenvatting'!$J$9,VLOOKUP('2. Kostprijs per beheertype'!D38,'1. Samenvatting'!$G$9:$N$15,4),IF(C38='1. Samenvatting'!$K$9,VLOOKUP('2. Kostprijs per beheertype'!D38,'1. Samenvatting'!$G$9:$N$15,5),IF(C38='1. Samenvatting'!$L$9,VLOOKUP('2. Kostprijs per beheertype'!D38,'1. Samenvatting'!$G$9:$N$15,6),IF(C38='1. Samenvatting'!$M$9,VLOOKUP('2. Kostprijs per beheertype'!D38,'1. Samenvatting'!$G$9:$N$15,7),IF(C38='1. Samenvatting'!$N$9,VLOOKUP('2. Kostprijs per beheertype'!D38,'1. Samenvatting'!$G$9:$N$15,8),"Nvt")))))))</f>
        <v>Nvt</v>
      </c>
      <c r="F38" s="373" t="str">
        <f>IF(C38='1. Samenvatting'!$H$9,VLOOKUP('2. Kostprijs per beheertype'!D38,'1. Samenvatting'!$G$16:$N$20,2,FALSE),IF(C38='1. Samenvatting'!$I$9,VLOOKUP('2. Kostprijs per beheertype'!D38,'1. Samenvatting'!$G$16:$N$20,3,FALSE),IF(C38='1. Samenvatting'!$J$9,VLOOKUP('2. Kostprijs per beheertype'!D38,'1. Samenvatting'!$G$16:$N$20,4,FALSE),IF(C38='1. Samenvatting'!$K$9,VLOOKUP('2. Kostprijs per beheertype'!D38,'1. Samenvatting'!$G$16:$N$20,5,FALSE),IF(C38='1. Samenvatting'!$L$9,VLOOKUP('2. Kostprijs per beheertype'!D38,'1. Samenvatting'!$G$16:$N$20,6,FALSE),IF(C38='1. Samenvatting'!$M$9,VLOOKUP('2. Kostprijs per beheertype'!D38,'1. Samenvatting'!$G$16:$N$20,7,FALSE),IF(C38='1. Samenvatting'!$N$9,VLOOKUP('2. Kostprijs per beheertype'!D38,'1. Samenvatting'!$G$16:$N$20,8,FALSE),"Nvt")))))))</f>
        <v>Nvt</v>
      </c>
      <c r="G38" s="374">
        <v>6</v>
      </c>
      <c r="H38" s="373">
        <f t="shared" si="0"/>
        <v>0</v>
      </c>
      <c r="I38" s="373">
        <f t="shared" si="1"/>
        <v>0</v>
      </c>
      <c r="J38" s="373"/>
      <c r="K38" s="393"/>
      <c r="L38" s="394"/>
    </row>
    <row r="39" spans="1:12" s="300" customFormat="1" ht="9.9499999999999993" customHeight="1" x14ac:dyDescent="0.15">
      <c r="A39" s="401" t="s">
        <v>52</v>
      </c>
      <c r="B39" s="401" t="s">
        <v>53</v>
      </c>
      <c r="C39" s="379" t="s">
        <v>16</v>
      </c>
      <c r="D39" s="380" t="str">
        <f>IF(C39='4. Beheertypen complexiteit'!$C$6,VLOOKUP('2. Kostprijs per beheertype'!A39,'4. Beheertypen complexiteit'!$A$8:$I$59,3,FALSE),IF(C39='4. Beheertypen complexiteit'!$D$6,VLOOKUP('2. Kostprijs per beheertype'!A39,'4. Beheertypen complexiteit'!$A$8:$I$59,4,FALSE),IF(C39='4. Beheertypen complexiteit'!$E$6,VLOOKUP('2. Kostprijs per beheertype'!A39,'4. Beheertypen complexiteit'!$A$8:$I$59,5,FALSE),IF(C39='4. Beheertypen complexiteit'!$F$6,VLOOKUP('2. Kostprijs per beheertype'!A39,'4. Beheertypen complexiteit'!$A$8:$I$59,6,FALSE),IF(C39='4. Beheertypen complexiteit'!$G$6,VLOOKUP('2. Kostprijs per beheertype'!A39,'4. Beheertypen complexiteit'!$A$8:$I$59,7,FALSE),IF(C39='4. Beheertypen complexiteit'!$H$6,VLOOKUP('2. Kostprijs per beheertype'!A39,'4. Beheertypen complexiteit'!$A$8:$I$59,8,FALSE),IF(C39='4. Beheertypen complexiteit'!$I$6,VLOOKUP('2. Kostprijs per beheertype'!A39,'4. Beheertypen complexiteit'!$A$8:$I$59,9,FALSE),"Nvt")))))))</f>
        <v>Nvt</v>
      </c>
      <c r="E39" s="381" t="str">
        <f>IF(C39='1. Samenvatting'!$H$9,VLOOKUP('2. Kostprijs per beheertype'!D39,'1. Samenvatting'!$G$9:$N$15,2,FALSE),IF(C39='1. Samenvatting'!$I$9,VLOOKUP('2. Kostprijs per beheertype'!D39,'1. Samenvatting'!$G$9:$N$15,3),IF(C39='1. Samenvatting'!$J$9,VLOOKUP('2. Kostprijs per beheertype'!D39,'1. Samenvatting'!$G$9:$N$15,4),IF(C39='1. Samenvatting'!$K$9,VLOOKUP('2. Kostprijs per beheertype'!D39,'1. Samenvatting'!$G$9:$N$15,5),IF(C39='1. Samenvatting'!$L$9,VLOOKUP('2. Kostprijs per beheertype'!D39,'1. Samenvatting'!$G$9:$N$15,6),IF(C39='1. Samenvatting'!$M$9,VLOOKUP('2. Kostprijs per beheertype'!D39,'1. Samenvatting'!$G$9:$N$15,7),IF(C39='1. Samenvatting'!$N$9,VLOOKUP('2. Kostprijs per beheertype'!D39,'1. Samenvatting'!$G$9:$N$15,8),"Nvt")))))))</f>
        <v>Nvt</v>
      </c>
      <c r="F39" s="381" t="str">
        <f>IF(C39='1. Samenvatting'!$H$9,VLOOKUP('2. Kostprijs per beheertype'!D39,'1. Samenvatting'!$G$16:$N$20,2,FALSE),IF(C39='1. Samenvatting'!$I$9,VLOOKUP('2. Kostprijs per beheertype'!D39,'1. Samenvatting'!$G$16:$N$20,3,FALSE),IF(C39='1. Samenvatting'!$J$9,VLOOKUP('2. Kostprijs per beheertype'!D39,'1. Samenvatting'!$G$16:$N$20,4,FALSE),IF(C39='1. Samenvatting'!$K$9,VLOOKUP('2. Kostprijs per beheertype'!D39,'1. Samenvatting'!$G$16:$N$20,5,FALSE),IF(C39='1. Samenvatting'!$L$9,VLOOKUP('2. Kostprijs per beheertype'!D39,'1. Samenvatting'!$G$16:$N$20,6,FALSE),IF(C39='1. Samenvatting'!$M$9,VLOOKUP('2. Kostprijs per beheertype'!D39,'1. Samenvatting'!$G$16:$N$20,7,FALSE),IF(C39='1. Samenvatting'!$N$9,VLOOKUP('2. Kostprijs per beheertype'!D39,'1. Samenvatting'!$G$16:$N$20,8,FALSE),"Nvt")))))))</f>
        <v>Nvt</v>
      </c>
      <c r="G39" s="382">
        <v>12</v>
      </c>
      <c r="H39" s="381">
        <f t="shared" si="0"/>
        <v>0</v>
      </c>
      <c r="I39" s="381">
        <f t="shared" si="1"/>
        <v>0</v>
      </c>
      <c r="J39" s="381"/>
      <c r="K39" s="396"/>
      <c r="L39" s="397"/>
    </row>
    <row r="40" spans="1:12" s="300" customFormat="1" ht="9.9499999999999993" customHeight="1" x14ac:dyDescent="0.15">
      <c r="A40" s="398" t="s">
        <v>54</v>
      </c>
      <c r="B40" s="398" t="s">
        <v>55</v>
      </c>
      <c r="C40" s="365" t="s">
        <v>19</v>
      </c>
      <c r="D40" s="366" t="str">
        <f>IF(C40='4. Beheertypen complexiteit'!$C$6,VLOOKUP('2. Kostprijs per beheertype'!A40,'4. Beheertypen complexiteit'!$A$8:$I$59,3,FALSE),IF(C40='4. Beheertypen complexiteit'!$D$6,VLOOKUP('2. Kostprijs per beheertype'!A40,'4. Beheertypen complexiteit'!$A$8:$I$59,4,FALSE),IF(C40='4. Beheertypen complexiteit'!$E$6,VLOOKUP('2. Kostprijs per beheertype'!A40,'4. Beheertypen complexiteit'!$A$8:$I$59,5,FALSE),IF(C40='4. Beheertypen complexiteit'!$F$6,VLOOKUP('2. Kostprijs per beheertype'!A40,'4. Beheertypen complexiteit'!$A$8:$I$59,6,FALSE),IF(C40='4. Beheertypen complexiteit'!$G$6,VLOOKUP('2. Kostprijs per beheertype'!A40,'4. Beheertypen complexiteit'!$A$8:$I$59,7,FALSE),IF(C40='4. Beheertypen complexiteit'!$H$6,VLOOKUP('2. Kostprijs per beheertype'!A40,'4. Beheertypen complexiteit'!$A$8:$I$59,8,FALSE),IF(C40='4. Beheertypen complexiteit'!$I$6,VLOOKUP('2. Kostprijs per beheertype'!A40,'4. Beheertypen complexiteit'!$A$8:$I$59,9,FALSE),"Nvt")))))))</f>
        <v>Nvt</v>
      </c>
      <c r="E40" s="367" t="str">
        <f>IF(C40='1. Samenvatting'!$H$9,VLOOKUP('2. Kostprijs per beheertype'!D40,'1. Samenvatting'!$G$9:$N$15,2,FALSE),IF(C40='1. Samenvatting'!$I$9,VLOOKUP('2. Kostprijs per beheertype'!D40,'1. Samenvatting'!$G$9:$N$15,3),IF(C40='1. Samenvatting'!$J$9,VLOOKUP('2. Kostprijs per beheertype'!D40,'1. Samenvatting'!$G$9:$N$15,4),IF(C40='1. Samenvatting'!$K$9,VLOOKUP('2. Kostprijs per beheertype'!D40,'1. Samenvatting'!$G$9:$N$15,5),IF(C40='1. Samenvatting'!$L$9,VLOOKUP('2. Kostprijs per beheertype'!D40,'1. Samenvatting'!$G$9:$N$15,6),IF(C40='1. Samenvatting'!$M$9,VLOOKUP('2. Kostprijs per beheertype'!D40,'1. Samenvatting'!$G$9:$N$15,7),IF(C40='1. Samenvatting'!$N$9,VLOOKUP('2. Kostprijs per beheertype'!D40,'1. Samenvatting'!$G$9:$N$15,8),"Nvt")))))))</f>
        <v>Nvt</v>
      </c>
      <c r="F40" s="367" t="str">
        <f>IF(C40='1. Samenvatting'!$H$9,VLOOKUP('2. Kostprijs per beheertype'!D40,'1. Samenvatting'!$G$16:$N$20,2,FALSE),IF(C40='1. Samenvatting'!$I$9,VLOOKUP('2. Kostprijs per beheertype'!D40,'1. Samenvatting'!$G$16:$N$20,3,FALSE),IF(C40='1. Samenvatting'!$J$9,VLOOKUP('2. Kostprijs per beheertype'!D40,'1. Samenvatting'!$G$16:$N$20,4,FALSE),IF(C40='1. Samenvatting'!$K$9,VLOOKUP('2. Kostprijs per beheertype'!D40,'1. Samenvatting'!$G$16:$N$20,5,FALSE),IF(C40='1. Samenvatting'!$L$9,VLOOKUP('2. Kostprijs per beheertype'!D40,'1. Samenvatting'!$G$16:$N$20,6,FALSE),IF(C40='1. Samenvatting'!$M$9,VLOOKUP('2. Kostprijs per beheertype'!D40,'1. Samenvatting'!$G$16:$N$20,7,FALSE),IF(C40='1. Samenvatting'!$N$9,VLOOKUP('2. Kostprijs per beheertype'!D40,'1. Samenvatting'!$G$16:$N$20,8,FALSE),"Nvt")))))))</f>
        <v>Nvt</v>
      </c>
      <c r="G40" s="368">
        <v>6</v>
      </c>
      <c r="H40" s="367">
        <f t="shared" si="0"/>
        <v>0</v>
      </c>
      <c r="I40" s="367">
        <f t="shared" si="1"/>
        <v>0</v>
      </c>
      <c r="J40" s="367">
        <f>'3. Parameters kostprijsmodel'!$F$36</f>
        <v>3.0089563425755728</v>
      </c>
      <c r="K40" s="399">
        <f>SUM(H40:H42)</f>
        <v>0</v>
      </c>
      <c r="L40" s="387">
        <f>SUM(I40:I42)</f>
        <v>0</v>
      </c>
    </row>
    <row r="41" spans="1:12" s="300" customFormat="1" ht="9.9499999999999993" customHeight="1" x14ac:dyDescent="0.15">
      <c r="A41" s="400" t="s">
        <v>54</v>
      </c>
      <c r="B41" s="400" t="s">
        <v>55</v>
      </c>
      <c r="C41" s="371" t="s">
        <v>155</v>
      </c>
      <c r="D41" s="372" t="str">
        <f>IF(C41='4. Beheertypen complexiteit'!$C$6,VLOOKUP('2. Kostprijs per beheertype'!A41,'4. Beheertypen complexiteit'!$A$8:$I$59,3,FALSE),IF(C41='4. Beheertypen complexiteit'!$D$6,VLOOKUP('2. Kostprijs per beheertype'!A41,'4. Beheertypen complexiteit'!$A$8:$I$59,4,FALSE),IF(C41='4. Beheertypen complexiteit'!$E$6,VLOOKUP('2. Kostprijs per beheertype'!A41,'4. Beheertypen complexiteit'!$A$8:$I$59,5,FALSE),IF(C41='4. Beheertypen complexiteit'!$F$6,VLOOKUP('2. Kostprijs per beheertype'!A41,'4. Beheertypen complexiteit'!$A$8:$I$59,6,FALSE),IF(C41='4. Beheertypen complexiteit'!$G$6,VLOOKUP('2. Kostprijs per beheertype'!A41,'4. Beheertypen complexiteit'!$A$8:$I$59,7,FALSE),IF(C41='4. Beheertypen complexiteit'!$H$6,VLOOKUP('2. Kostprijs per beheertype'!A41,'4. Beheertypen complexiteit'!$A$8:$I$59,8,FALSE),IF(C41='4. Beheertypen complexiteit'!$I$6,VLOOKUP('2. Kostprijs per beheertype'!A41,'4. Beheertypen complexiteit'!$A$8:$I$59,9,FALSE),"Nvt")))))))</f>
        <v>Nvt</v>
      </c>
      <c r="E41" s="373" t="str">
        <f>IF(C41='1. Samenvatting'!$H$9,VLOOKUP('2. Kostprijs per beheertype'!D41,'1. Samenvatting'!$G$9:$N$15,2,FALSE),IF(C41='1. Samenvatting'!$I$9,VLOOKUP('2. Kostprijs per beheertype'!D41,'1. Samenvatting'!$G$9:$N$15,3),IF(C41='1. Samenvatting'!$J$9,VLOOKUP('2. Kostprijs per beheertype'!D41,'1. Samenvatting'!$G$9:$N$15,4),IF(C41='1. Samenvatting'!$K$9,VLOOKUP('2. Kostprijs per beheertype'!D41,'1. Samenvatting'!$G$9:$N$15,5),IF(C41='1. Samenvatting'!$L$9,VLOOKUP('2. Kostprijs per beheertype'!D41,'1. Samenvatting'!$G$9:$N$15,6),IF(C41='1. Samenvatting'!$M$9,VLOOKUP('2. Kostprijs per beheertype'!D41,'1. Samenvatting'!$G$9:$N$15,7),IF(C41='1. Samenvatting'!$N$9,VLOOKUP('2. Kostprijs per beheertype'!D41,'1. Samenvatting'!$G$9:$N$15,8),"Nvt")))))))</f>
        <v>Nvt</v>
      </c>
      <c r="F41" s="373" t="str">
        <f>IF(C41='1. Samenvatting'!$H$9,VLOOKUP('2. Kostprijs per beheertype'!D41,'1. Samenvatting'!$G$16:$N$20,2,FALSE),IF(C41='1. Samenvatting'!$I$9,VLOOKUP('2. Kostprijs per beheertype'!D41,'1. Samenvatting'!$G$16:$N$20,3,FALSE),IF(C41='1. Samenvatting'!$J$9,VLOOKUP('2. Kostprijs per beheertype'!D41,'1. Samenvatting'!$G$16:$N$20,4,FALSE),IF(C41='1. Samenvatting'!$K$9,VLOOKUP('2. Kostprijs per beheertype'!D41,'1. Samenvatting'!$G$16:$N$20,5,FALSE),IF(C41='1. Samenvatting'!$L$9,VLOOKUP('2. Kostprijs per beheertype'!D41,'1. Samenvatting'!$G$16:$N$20,6,FALSE),IF(C41='1. Samenvatting'!$M$9,VLOOKUP('2. Kostprijs per beheertype'!D41,'1. Samenvatting'!$G$16:$N$20,7,FALSE),IF(C41='1. Samenvatting'!$N$9,VLOOKUP('2. Kostprijs per beheertype'!D41,'1. Samenvatting'!$G$16:$N$20,8,FALSE),"Nvt")))))))</f>
        <v>Nvt</v>
      </c>
      <c r="G41" s="374">
        <v>6</v>
      </c>
      <c r="H41" s="373">
        <f t="shared" si="0"/>
        <v>0</v>
      </c>
      <c r="I41" s="373">
        <f t="shared" si="1"/>
        <v>0</v>
      </c>
      <c r="J41" s="373"/>
      <c r="K41" s="393"/>
      <c r="L41" s="394"/>
    </row>
    <row r="42" spans="1:12" s="300" customFormat="1" ht="9.9499999999999993" customHeight="1" x14ac:dyDescent="0.15">
      <c r="A42" s="401" t="s">
        <v>54</v>
      </c>
      <c r="B42" s="401" t="s">
        <v>55</v>
      </c>
      <c r="C42" s="379" t="s">
        <v>16</v>
      </c>
      <c r="D42" s="380" t="str">
        <f>IF(C42='4. Beheertypen complexiteit'!$C$6,VLOOKUP('2. Kostprijs per beheertype'!A42,'4. Beheertypen complexiteit'!$A$8:$I$59,3,FALSE),IF(C42='4. Beheertypen complexiteit'!$D$6,VLOOKUP('2. Kostprijs per beheertype'!A42,'4. Beheertypen complexiteit'!$A$8:$I$59,4,FALSE),IF(C42='4. Beheertypen complexiteit'!$E$6,VLOOKUP('2. Kostprijs per beheertype'!A42,'4. Beheertypen complexiteit'!$A$8:$I$59,5,FALSE),IF(C42='4. Beheertypen complexiteit'!$F$6,VLOOKUP('2. Kostprijs per beheertype'!A42,'4. Beheertypen complexiteit'!$A$8:$I$59,6,FALSE),IF(C42='4. Beheertypen complexiteit'!$G$6,VLOOKUP('2. Kostprijs per beheertype'!A42,'4. Beheertypen complexiteit'!$A$8:$I$59,7,FALSE),IF(C42='4. Beheertypen complexiteit'!$H$6,VLOOKUP('2. Kostprijs per beheertype'!A42,'4. Beheertypen complexiteit'!$A$8:$I$59,8,FALSE),IF(C42='4. Beheertypen complexiteit'!$I$6,VLOOKUP('2. Kostprijs per beheertype'!A42,'4. Beheertypen complexiteit'!$A$8:$I$59,9,FALSE),"Nvt")))))))</f>
        <v>Nvt</v>
      </c>
      <c r="E42" s="381" t="str">
        <f>IF(C42='1. Samenvatting'!$H$9,VLOOKUP('2. Kostprijs per beheertype'!D42,'1. Samenvatting'!$G$9:$N$15,2,FALSE),IF(C42='1. Samenvatting'!$I$9,VLOOKUP('2. Kostprijs per beheertype'!D42,'1. Samenvatting'!$G$9:$N$15,3),IF(C42='1. Samenvatting'!$J$9,VLOOKUP('2. Kostprijs per beheertype'!D42,'1. Samenvatting'!$G$9:$N$15,4),IF(C42='1. Samenvatting'!$K$9,VLOOKUP('2. Kostprijs per beheertype'!D42,'1. Samenvatting'!$G$9:$N$15,5),IF(C42='1. Samenvatting'!$L$9,VLOOKUP('2. Kostprijs per beheertype'!D42,'1. Samenvatting'!$G$9:$N$15,6),IF(C42='1. Samenvatting'!$M$9,VLOOKUP('2. Kostprijs per beheertype'!D42,'1. Samenvatting'!$G$9:$N$15,7),IF(C42='1. Samenvatting'!$N$9,VLOOKUP('2. Kostprijs per beheertype'!D42,'1. Samenvatting'!$G$9:$N$15,8),"Nvt")))))))</f>
        <v>Nvt</v>
      </c>
      <c r="F42" s="381" t="str">
        <f>IF(C42='1. Samenvatting'!$H$9,VLOOKUP('2. Kostprijs per beheertype'!D42,'1. Samenvatting'!$G$16:$N$20,2,FALSE),IF(C42='1. Samenvatting'!$I$9,VLOOKUP('2. Kostprijs per beheertype'!D42,'1. Samenvatting'!$G$16:$N$20,3,FALSE),IF(C42='1. Samenvatting'!$J$9,VLOOKUP('2. Kostprijs per beheertype'!D42,'1. Samenvatting'!$G$16:$N$20,4,FALSE),IF(C42='1. Samenvatting'!$K$9,VLOOKUP('2. Kostprijs per beheertype'!D42,'1. Samenvatting'!$G$16:$N$20,5,FALSE),IF(C42='1. Samenvatting'!$L$9,VLOOKUP('2. Kostprijs per beheertype'!D42,'1. Samenvatting'!$G$16:$N$20,6,FALSE),IF(C42='1. Samenvatting'!$M$9,VLOOKUP('2. Kostprijs per beheertype'!D42,'1. Samenvatting'!$G$16:$N$20,7,FALSE),IF(C42='1. Samenvatting'!$N$9,VLOOKUP('2. Kostprijs per beheertype'!D42,'1. Samenvatting'!$G$16:$N$20,8,FALSE),"Nvt")))))))</f>
        <v>Nvt</v>
      </c>
      <c r="G42" s="382">
        <v>12</v>
      </c>
      <c r="H42" s="381">
        <f t="shared" si="0"/>
        <v>0</v>
      </c>
      <c r="I42" s="381">
        <f t="shared" si="1"/>
        <v>0</v>
      </c>
      <c r="J42" s="381"/>
      <c r="K42" s="396"/>
      <c r="L42" s="397"/>
    </row>
    <row r="43" spans="1:12" s="300" customFormat="1" ht="9.9499999999999993" customHeight="1" x14ac:dyDescent="0.15">
      <c r="A43" s="398" t="s">
        <v>56</v>
      </c>
      <c r="B43" s="398" t="s">
        <v>57</v>
      </c>
      <c r="C43" s="365" t="s">
        <v>19</v>
      </c>
      <c r="D43" s="366" t="str">
        <f>IF(C43='4. Beheertypen complexiteit'!$C$6,VLOOKUP('2. Kostprijs per beheertype'!A43,'4. Beheertypen complexiteit'!$A$8:$I$59,3,FALSE),IF(C43='4. Beheertypen complexiteit'!$D$6,VLOOKUP('2. Kostprijs per beheertype'!A43,'4. Beheertypen complexiteit'!$A$8:$I$59,4,FALSE),IF(C43='4. Beheertypen complexiteit'!$E$6,VLOOKUP('2. Kostprijs per beheertype'!A43,'4. Beheertypen complexiteit'!$A$8:$I$59,5,FALSE),IF(C43='4. Beheertypen complexiteit'!$F$6,VLOOKUP('2. Kostprijs per beheertype'!A43,'4. Beheertypen complexiteit'!$A$8:$I$59,6,FALSE),IF(C43='4. Beheertypen complexiteit'!$G$6,VLOOKUP('2. Kostprijs per beheertype'!A43,'4. Beheertypen complexiteit'!$A$8:$I$59,7,FALSE),IF(C43='4. Beheertypen complexiteit'!$H$6,VLOOKUP('2. Kostprijs per beheertype'!A43,'4. Beheertypen complexiteit'!$A$8:$I$59,8,FALSE),IF(C43='4. Beheertypen complexiteit'!$I$6,VLOOKUP('2. Kostprijs per beheertype'!A43,'4. Beheertypen complexiteit'!$A$8:$I$59,9,FALSE),"Nvt")))))))</f>
        <v>Nvt</v>
      </c>
      <c r="E43" s="367" t="str">
        <f>IF(C43='1. Samenvatting'!$H$9,VLOOKUP('2. Kostprijs per beheertype'!D43,'1. Samenvatting'!$G$9:$N$15,2,FALSE),IF(C43='1. Samenvatting'!$I$9,VLOOKUP('2. Kostprijs per beheertype'!D43,'1. Samenvatting'!$G$9:$N$15,3),IF(C43='1. Samenvatting'!$J$9,VLOOKUP('2. Kostprijs per beheertype'!D43,'1. Samenvatting'!$G$9:$N$15,4),IF(C43='1. Samenvatting'!$K$9,VLOOKUP('2. Kostprijs per beheertype'!D43,'1. Samenvatting'!$G$9:$N$15,5),IF(C43='1. Samenvatting'!$L$9,VLOOKUP('2. Kostprijs per beheertype'!D43,'1. Samenvatting'!$G$9:$N$15,6),IF(C43='1. Samenvatting'!$M$9,VLOOKUP('2. Kostprijs per beheertype'!D43,'1. Samenvatting'!$G$9:$N$15,7),IF(C43='1. Samenvatting'!$N$9,VLOOKUP('2. Kostprijs per beheertype'!D43,'1. Samenvatting'!$G$9:$N$15,8),"Nvt")))))))</f>
        <v>Nvt</v>
      </c>
      <c r="F43" s="367" t="str">
        <f>IF(C43='1. Samenvatting'!$H$9,VLOOKUP('2. Kostprijs per beheertype'!D43,'1. Samenvatting'!$G$16:$N$20,2,FALSE),IF(C43='1. Samenvatting'!$I$9,VLOOKUP('2. Kostprijs per beheertype'!D43,'1. Samenvatting'!$G$16:$N$20,3,FALSE),IF(C43='1. Samenvatting'!$J$9,VLOOKUP('2. Kostprijs per beheertype'!D43,'1. Samenvatting'!$G$16:$N$20,4,FALSE),IF(C43='1. Samenvatting'!$K$9,VLOOKUP('2. Kostprijs per beheertype'!D43,'1. Samenvatting'!$G$16:$N$20,5,FALSE),IF(C43='1. Samenvatting'!$L$9,VLOOKUP('2. Kostprijs per beheertype'!D43,'1. Samenvatting'!$G$16:$N$20,6,FALSE),IF(C43='1. Samenvatting'!$M$9,VLOOKUP('2. Kostprijs per beheertype'!D43,'1. Samenvatting'!$G$16:$N$20,7,FALSE),IF(C43='1. Samenvatting'!$N$9,VLOOKUP('2. Kostprijs per beheertype'!D43,'1. Samenvatting'!$G$16:$N$20,8,FALSE),"Nvt")))))))</f>
        <v>Nvt</v>
      </c>
      <c r="G43" s="368">
        <v>6</v>
      </c>
      <c r="H43" s="367">
        <f t="shared" si="0"/>
        <v>0</v>
      </c>
      <c r="I43" s="367">
        <f t="shared" si="1"/>
        <v>0</v>
      </c>
      <c r="J43" s="367">
        <f>'3. Parameters kostprijsmodel'!$F$36</f>
        <v>3.0089563425755728</v>
      </c>
      <c r="K43" s="399">
        <f>SUM(H43:H46)</f>
        <v>0</v>
      </c>
      <c r="L43" s="387">
        <f>SUM(I43:I46)</f>
        <v>0</v>
      </c>
    </row>
    <row r="44" spans="1:12" s="300" customFormat="1" ht="9.9499999999999993" customHeight="1" x14ac:dyDescent="0.15">
      <c r="A44" s="400" t="s">
        <v>56</v>
      </c>
      <c r="B44" s="400" t="s">
        <v>57</v>
      </c>
      <c r="C44" s="371" t="s">
        <v>21</v>
      </c>
      <c r="D44" s="372" t="str">
        <f>IF(C44='4. Beheertypen complexiteit'!$C$6,VLOOKUP('2. Kostprijs per beheertype'!A44,'4. Beheertypen complexiteit'!$A$8:$I$59,3,FALSE),IF(C44='4. Beheertypen complexiteit'!$D$6,VLOOKUP('2. Kostprijs per beheertype'!A44,'4. Beheertypen complexiteit'!$A$8:$I$59,4,FALSE),IF(C44='4. Beheertypen complexiteit'!$E$6,VLOOKUP('2. Kostprijs per beheertype'!A44,'4. Beheertypen complexiteit'!$A$8:$I$59,5,FALSE),IF(C44='4. Beheertypen complexiteit'!$F$6,VLOOKUP('2. Kostprijs per beheertype'!A44,'4. Beheertypen complexiteit'!$A$8:$I$59,6,FALSE),IF(C44='4. Beheertypen complexiteit'!$G$6,VLOOKUP('2. Kostprijs per beheertype'!A44,'4. Beheertypen complexiteit'!$A$8:$I$59,7,FALSE),IF(C44='4. Beheertypen complexiteit'!$H$6,VLOOKUP('2. Kostprijs per beheertype'!A44,'4. Beheertypen complexiteit'!$A$8:$I$59,8,FALSE),IF(C44='4. Beheertypen complexiteit'!$I$6,VLOOKUP('2. Kostprijs per beheertype'!A44,'4. Beheertypen complexiteit'!$A$8:$I$59,9,FALSE),"Nvt")))))))</f>
        <v>Nvt</v>
      </c>
      <c r="E44" s="373" t="str">
        <f>IF(C44='1. Samenvatting'!$H$9,VLOOKUP('2. Kostprijs per beheertype'!D44,'1. Samenvatting'!$G$9:$N$15,2,FALSE),IF(C44='1. Samenvatting'!$I$9,VLOOKUP('2. Kostprijs per beheertype'!D44,'1. Samenvatting'!$G$9:$N$15,3),IF(C44='1. Samenvatting'!$J$9,VLOOKUP('2. Kostprijs per beheertype'!D44,'1. Samenvatting'!$G$9:$N$15,4),IF(C44='1. Samenvatting'!$K$9,VLOOKUP('2. Kostprijs per beheertype'!D44,'1. Samenvatting'!$G$9:$N$15,5),IF(C44='1. Samenvatting'!$L$9,VLOOKUP('2. Kostprijs per beheertype'!D44,'1. Samenvatting'!$G$9:$N$15,6),IF(C44='1. Samenvatting'!$M$9,VLOOKUP('2. Kostprijs per beheertype'!D44,'1. Samenvatting'!$G$9:$N$15,7),IF(C44='1. Samenvatting'!$N$9,VLOOKUP('2. Kostprijs per beheertype'!D44,'1. Samenvatting'!$G$9:$N$15,8),"Nvt")))))))</f>
        <v>Nvt</v>
      </c>
      <c r="F44" s="373" t="str">
        <f>IF(C44='1. Samenvatting'!$H$9,VLOOKUP('2. Kostprijs per beheertype'!D44,'1. Samenvatting'!$G$16:$N$20,2,FALSE),IF(C44='1. Samenvatting'!$I$9,VLOOKUP('2. Kostprijs per beheertype'!D44,'1. Samenvatting'!$G$16:$N$20,3,FALSE),IF(C44='1. Samenvatting'!$J$9,VLOOKUP('2. Kostprijs per beheertype'!D44,'1. Samenvatting'!$G$16:$N$20,4,FALSE),IF(C44='1. Samenvatting'!$K$9,VLOOKUP('2. Kostprijs per beheertype'!D44,'1. Samenvatting'!$G$16:$N$20,5,FALSE),IF(C44='1. Samenvatting'!$L$9,VLOOKUP('2. Kostprijs per beheertype'!D44,'1. Samenvatting'!$G$16:$N$20,6,FALSE),IF(C44='1. Samenvatting'!$M$9,VLOOKUP('2. Kostprijs per beheertype'!D44,'1. Samenvatting'!$G$16:$N$20,7,FALSE),IF(C44='1. Samenvatting'!$N$9,VLOOKUP('2. Kostprijs per beheertype'!D44,'1. Samenvatting'!$G$16:$N$20,8,FALSE),"Nvt")))))))</f>
        <v>Nvt</v>
      </c>
      <c r="G44" s="374">
        <v>6</v>
      </c>
      <c r="H44" s="373">
        <f t="shared" si="0"/>
        <v>0</v>
      </c>
      <c r="I44" s="373">
        <f t="shared" si="1"/>
        <v>0</v>
      </c>
      <c r="J44" s="373"/>
      <c r="K44" s="393"/>
      <c r="L44" s="394"/>
    </row>
    <row r="45" spans="1:12" s="300" customFormat="1" ht="9.9499999999999993" customHeight="1" x14ac:dyDescent="0.15">
      <c r="A45" s="400" t="s">
        <v>56</v>
      </c>
      <c r="B45" s="400" t="s">
        <v>57</v>
      </c>
      <c r="C45" s="371" t="s">
        <v>155</v>
      </c>
      <c r="D45" s="372" t="str">
        <f>IF(C45='4. Beheertypen complexiteit'!$C$6,VLOOKUP('2. Kostprijs per beheertype'!A45,'4. Beheertypen complexiteit'!$A$8:$I$59,3,FALSE),IF(C45='4. Beheertypen complexiteit'!$D$6,VLOOKUP('2. Kostprijs per beheertype'!A45,'4. Beheertypen complexiteit'!$A$8:$I$59,4,FALSE),IF(C45='4. Beheertypen complexiteit'!$E$6,VLOOKUP('2. Kostprijs per beheertype'!A45,'4. Beheertypen complexiteit'!$A$8:$I$59,5,FALSE),IF(C45='4. Beheertypen complexiteit'!$F$6,VLOOKUP('2. Kostprijs per beheertype'!A45,'4. Beheertypen complexiteit'!$A$8:$I$59,6,FALSE),IF(C45='4. Beheertypen complexiteit'!$G$6,VLOOKUP('2. Kostprijs per beheertype'!A45,'4. Beheertypen complexiteit'!$A$8:$I$59,7,FALSE),IF(C45='4. Beheertypen complexiteit'!$H$6,VLOOKUP('2. Kostprijs per beheertype'!A45,'4. Beheertypen complexiteit'!$A$8:$I$59,8,FALSE),IF(C45='4. Beheertypen complexiteit'!$I$6,VLOOKUP('2. Kostprijs per beheertype'!A45,'4. Beheertypen complexiteit'!$A$8:$I$59,9,FALSE),"Nvt")))))))</f>
        <v>Nvt</v>
      </c>
      <c r="E45" s="373" t="str">
        <f>IF(C45='1. Samenvatting'!$H$9,VLOOKUP('2. Kostprijs per beheertype'!D45,'1. Samenvatting'!$G$9:$N$15,2,FALSE),IF(C45='1. Samenvatting'!$I$9,VLOOKUP('2. Kostprijs per beheertype'!D45,'1. Samenvatting'!$G$9:$N$15,3),IF(C45='1. Samenvatting'!$J$9,VLOOKUP('2. Kostprijs per beheertype'!D45,'1. Samenvatting'!$G$9:$N$15,4),IF(C45='1. Samenvatting'!$K$9,VLOOKUP('2. Kostprijs per beheertype'!D45,'1. Samenvatting'!$G$9:$N$15,5),IF(C45='1. Samenvatting'!$L$9,VLOOKUP('2. Kostprijs per beheertype'!D45,'1. Samenvatting'!$G$9:$N$15,6),IF(C45='1. Samenvatting'!$M$9,VLOOKUP('2. Kostprijs per beheertype'!D45,'1. Samenvatting'!$G$9:$N$15,7),IF(C45='1. Samenvatting'!$N$9,VLOOKUP('2. Kostprijs per beheertype'!D45,'1. Samenvatting'!$G$9:$N$15,8),"Nvt")))))))</f>
        <v>Nvt</v>
      </c>
      <c r="F45" s="373" t="str">
        <f>IF(C45='1. Samenvatting'!$H$9,VLOOKUP('2. Kostprijs per beheertype'!D45,'1. Samenvatting'!$G$16:$N$20,2,FALSE),IF(C45='1. Samenvatting'!$I$9,VLOOKUP('2. Kostprijs per beheertype'!D45,'1. Samenvatting'!$G$16:$N$20,3,FALSE),IF(C45='1. Samenvatting'!$J$9,VLOOKUP('2. Kostprijs per beheertype'!D45,'1. Samenvatting'!$G$16:$N$20,4,FALSE),IF(C45='1. Samenvatting'!$K$9,VLOOKUP('2. Kostprijs per beheertype'!D45,'1. Samenvatting'!$G$16:$N$20,5,FALSE),IF(C45='1. Samenvatting'!$L$9,VLOOKUP('2. Kostprijs per beheertype'!D45,'1. Samenvatting'!$G$16:$N$20,6,FALSE),IF(C45='1. Samenvatting'!$M$9,VLOOKUP('2. Kostprijs per beheertype'!D45,'1. Samenvatting'!$G$16:$N$20,7,FALSE),IF(C45='1. Samenvatting'!$N$9,VLOOKUP('2. Kostprijs per beheertype'!D45,'1. Samenvatting'!$G$16:$N$20,8,FALSE),"Nvt")))))))</f>
        <v>Nvt</v>
      </c>
      <c r="G45" s="374">
        <v>6</v>
      </c>
      <c r="H45" s="373">
        <f t="shared" si="0"/>
        <v>0</v>
      </c>
      <c r="I45" s="373">
        <f t="shared" si="1"/>
        <v>0</v>
      </c>
      <c r="J45" s="373"/>
      <c r="K45" s="393"/>
      <c r="L45" s="394"/>
    </row>
    <row r="46" spans="1:12" s="300" customFormat="1" ht="9.9499999999999993" customHeight="1" x14ac:dyDescent="0.15">
      <c r="A46" s="401" t="s">
        <v>56</v>
      </c>
      <c r="B46" s="401" t="s">
        <v>57</v>
      </c>
      <c r="C46" s="379" t="s">
        <v>16</v>
      </c>
      <c r="D46" s="380" t="str">
        <f>IF(C46='4. Beheertypen complexiteit'!$C$6,VLOOKUP('2. Kostprijs per beheertype'!A46,'4. Beheertypen complexiteit'!$A$8:$I$59,3,FALSE),IF(C46='4. Beheertypen complexiteit'!$D$6,VLOOKUP('2. Kostprijs per beheertype'!A46,'4. Beheertypen complexiteit'!$A$8:$I$59,4,FALSE),IF(C46='4. Beheertypen complexiteit'!$E$6,VLOOKUP('2. Kostprijs per beheertype'!A46,'4. Beheertypen complexiteit'!$A$8:$I$59,5,FALSE),IF(C46='4. Beheertypen complexiteit'!$F$6,VLOOKUP('2. Kostprijs per beheertype'!A46,'4. Beheertypen complexiteit'!$A$8:$I$59,6,FALSE),IF(C46='4. Beheertypen complexiteit'!$G$6,VLOOKUP('2. Kostprijs per beheertype'!A46,'4. Beheertypen complexiteit'!$A$8:$I$59,7,FALSE),IF(C46='4. Beheertypen complexiteit'!$H$6,VLOOKUP('2. Kostprijs per beheertype'!A46,'4. Beheertypen complexiteit'!$A$8:$I$59,8,FALSE),IF(C46='4. Beheertypen complexiteit'!$I$6,VLOOKUP('2. Kostprijs per beheertype'!A46,'4. Beheertypen complexiteit'!$A$8:$I$59,9,FALSE),"Nvt")))))))</f>
        <v>Nvt</v>
      </c>
      <c r="E46" s="381" t="str">
        <f>IF(C46='1. Samenvatting'!$H$9,VLOOKUP('2. Kostprijs per beheertype'!D46,'1. Samenvatting'!$G$9:$N$15,2,FALSE),IF(C46='1. Samenvatting'!$I$9,VLOOKUP('2. Kostprijs per beheertype'!D46,'1. Samenvatting'!$G$9:$N$15,3),IF(C46='1. Samenvatting'!$J$9,VLOOKUP('2. Kostprijs per beheertype'!D46,'1. Samenvatting'!$G$9:$N$15,4),IF(C46='1. Samenvatting'!$K$9,VLOOKUP('2. Kostprijs per beheertype'!D46,'1. Samenvatting'!$G$9:$N$15,5),IF(C46='1. Samenvatting'!$L$9,VLOOKUP('2. Kostprijs per beheertype'!D46,'1. Samenvatting'!$G$9:$N$15,6),IF(C46='1. Samenvatting'!$M$9,VLOOKUP('2. Kostprijs per beheertype'!D46,'1. Samenvatting'!$G$9:$N$15,7),IF(C46='1. Samenvatting'!$N$9,VLOOKUP('2. Kostprijs per beheertype'!D46,'1. Samenvatting'!$G$9:$N$15,8),"Nvt")))))))</f>
        <v>Nvt</v>
      </c>
      <c r="F46" s="381" t="str">
        <f>IF(C46='1. Samenvatting'!$H$9,VLOOKUP('2. Kostprijs per beheertype'!D46,'1. Samenvatting'!$G$16:$N$20,2,FALSE),IF(C46='1. Samenvatting'!$I$9,VLOOKUP('2. Kostprijs per beheertype'!D46,'1. Samenvatting'!$G$16:$N$20,3,FALSE),IF(C46='1. Samenvatting'!$J$9,VLOOKUP('2. Kostprijs per beheertype'!D46,'1. Samenvatting'!$G$16:$N$20,4,FALSE),IF(C46='1. Samenvatting'!$K$9,VLOOKUP('2. Kostprijs per beheertype'!D46,'1. Samenvatting'!$G$16:$N$20,5,FALSE),IF(C46='1. Samenvatting'!$L$9,VLOOKUP('2. Kostprijs per beheertype'!D46,'1. Samenvatting'!$G$16:$N$20,6,FALSE),IF(C46='1. Samenvatting'!$M$9,VLOOKUP('2. Kostprijs per beheertype'!D46,'1. Samenvatting'!$G$16:$N$20,7,FALSE),IF(C46='1. Samenvatting'!$N$9,VLOOKUP('2. Kostprijs per beheertype'!D46,'1. Samenvatting'!$G$16:$N$20,8,FALSE),"Nvt")))))))</f>
        <v>Nvt</v>
      </c>
      <c r="G46" s="382">
        <v>12</v>
      </c>
      <c r="H46" s="381">
        <f t="shared" si="0"/>
        <v>0</v>
      </c>
      <c r="I46" s="381">
        <f t="shared" si="1"/>
        <v>0</v>
      </c>
      <c r="J46" s="381"/>
      <c r="K46" s="396"/>
      <c r="L46" s="397"/>
    </row>
    <row r="47" spans="1:12" s="300" customFormat="1" ht="9.9499999999999993" customHeight="1" x14ac:dyDescent="0.15">
      <c r="A47" s="398" t="s">
        <v>58</v>
      </c>
      <c r="B47" s="398" t="s">
        <v>59</v>
      </c>
      <c r="C47" s="365" t="s">
        <v>19</v>
      </c>
      <c r="D47" s="366" t="str">
        <f>IF(C47='4. Beheertypen complexiteit'!$C$6,VLOOKUP('2. Kostprijs per beheertype'!A47,'4. Beheertypen complexiteit'!$A$8:$I$59,3,FALSE),IF(C47='4. Beheertypen complexiteit'!$D$6,VLOOKUP('2. Kostprijs per beheertype'!A47,'4. Beheertypen complexiteit'!$A$8:$I$59,4,FALSE),IF(C47='4. Beheertypen complexiteit'!$E$6,VLOOKUP('2. Kostprijs per beheertype'!A47,'4. Beheertypen complexiteit'!$A$8:$I$59,5,FALSE),IF(C47='4. Beheertypen complexiteit'!$F$6,VLOOKUP('2. Kostprijs per beheertype'!A47,'4. Beheertypen complexiteit'!$A$8:$I$59,6,FALSE),IF(C47='4. Beheertypen complexiteit'!$G$6,VLOOKUP('2. Kostprijs per beheertype'!A47,'4. Beheertypen complexiteit'!$A$8:$I$59,7,FALSE),IF(C47='4. Beheertypen complexiteit'!$H$6,VLOOKUP('2. Kostprijs per beheertype'!A47,'4. Beheertypen complexiteit'!$A$8:$I$59,8,FALSE),IF(C47='4. Beheertypen complexiteit'!$I$6,VLOOKUP('2. Kostprijs per beheertype'!A47,'4. Beheertypen complexiteit'!$A$8:$I$59,9,FALSE),"Nvt")))))))</f>
        <v>Nvt</v>
      </c>
      <c r="E47" s="367" t="str">
        <f>IF(C47='1. Samenvatting'!$H$9,VLOOKUP('2. Kostprijs per beheertype'!D47,'1. Samenvatting'!$G$9:$N$15,2,FALSE),IF(C47='1. Samenvatting'!$I$9,VLOOKUP('2. Kostprijs per beheertype'!D47,'1. Samenvatting'!$G$9:$N$15,3),IF(C47='1. Samenvatting'!$J$9,VLOOKUP('2. Kostprijs per beheertype'!D47,'1. Samenvatting'!$G$9:$N$15,4),IF(C47='1. Samenvatting'!$K$9,VLOOKUP('2. Kostprijs per beheertype'!D47,'1. Samenvatting'!$G$9:$N$15,5),IF(C47='1. Samenvatting'!$L$9,VLOOKUP('2. Kostprijs per beheertype'!D47,'1. Samenvatting'!$G$9:$N$15,6),IF(C47='1. Samenvatting'!$M$9,VLOOKUP('2. Kostprijs per beheertype'!D47,'1. Samenvatting'!$G$9:$N$15,7),IF(C47='1. Samenvatting'!$N$9,VLOOKUP('2. Kostprijs per beheertype'!D47,'1. Samenvatting'!$G$9:$N$15,8),"Nvt")))))))</f>
        <v>Nvt</v>
      </c>
      <c r="F47" s="367" t="str">
        <f>IF(C47='1. Samenvatting'!$H$9,VLOOKUP('2. Kostprijs per beheertype'!D47,'1. Samenvatting'!$G$16:$N$20,2,FALSE),IF(C47='1. Samenvatting'!$I$9,VLOOKUP('2. Kostprijs per beheertype'!D47,'1. Samenvatting'!$G$16:$N$20,3,FALSE),IF(C47='1. Samenvatting'!$J$9,VLOOKUP('2. Kostprijs per beheertype'!D47,'1. Samenvatting'!$G$16:$N$20,4,FALSE),IF(C47='1. Samenvatting'!$K$9,VLOOKUP('2. Kostprijs per beheertype'!D47,'1. Samenvatting'!$G$16:$N$20,5,FALSE),IF(C47='1. Samenvatting'!$L$9,VLOOKUP('2. Kostprijs per beheertype'!D47,'1. Samenvatting'!$G$16:$N$20,6,FALSE),IF(C47='1. Samenvatting'!$M$9,VLOOKUP('2. Kostprijs per beheertype'!D47,'1. Samenvatting'!$G$16:$N$20,7,FALSE),IF(C47='1. Samenvatting'!$N$9,VLOOKUP('2. Kostprijs per beheertype'!D47,'1. Samenvatting'!$G$16:$N$20,8,FALSE),"Nvt")))))))</f>
        <v>Nvt</v>
      </c>
      <c r="G47" s="368">
        <v>6</v>
      </c>
      <c r="H47" s="367">
        <f t="shared" si="0"/>
        <v>0</v>
      </c>
      <c r="I47" s="367">
        <f t="shared" si="1"/>
        <v>0</v>
      </c>
      <c r="J47" s="367">
        <f>'3. Parameters kostprijsmodel'!$F$36</f>
        <v>3.0089563425755728</v>
      </c>
      <c r="K47" s="399">
        <f>SUM(H47:H51)</f>
        <v>0</v>
      </c>
      <c r="L47" s="387">
        <f>SUM(I47:I51)</f>
        <v>0</v>
      </c>
    </row>
    <row r="48" spans="1:12" s="300" customFormat="1" ht="9.9499999999999993" customHeight="1" x14ac:dyDescent="0.15">
      <c r="A48" s="400" t="s">
        <v>58</v>
      </c>
      <c r="B48" s="400" t="s">
        <v>59</v>
      </c>
      <c r="C48" s="371" t="s">
        <v>21</v>
      </c>
      <c r="D48" s="372" t="str">
        <f>IF(C48='4. Beheertypen complexiteit'!$C$6,VLOOKUP('2. Kostprijs per beheertype'!A48,'4. Beheertypen complexiteit'!$A$8:$I$59,3,FALSE),IF(C48='4. Beheertypen complexiteit'!$D$6,VLOOKUP('2. Kostprijs per beheertype'!A48,'4. Beheertypen complexiteit'!$A$8:$I$59,4,FALSE),IF(C48='4. Beheertypen complexiteit'!$E$6,VLOOKUP('2. Kostprijs per beheertype'!A48,'4. Beheertypen complexiteit'!$A$8:$I$59,5,FALSE),IF(C48='4. Beheertypen complexiteit'!$F$6,VLOOKUP('2. Kostprijs per beheertype'!A48,'4. Beheertypen complexiteit'!$A$8:$I$59,6,FALSE),IF(C48='4. Beheertypen complexiteit'!$G$6,VLOOKUP('2. Kostprijs per beheertype'!A48,'4. Beheertypen complexiteit'!$A$8:$I$59,7,FALSE),IF(C48='4. Beheertypen complexiteit'!$H$6,VLOOKUP('2. Kostprijs per beheertype'!A48,'4. Beheertypen complexiteit'!$A$8:$I$59,8,FALSE),IF(C48='4. Beheertypen complexiteit'!$I$6,VLOOKUP('2. Kostprijs per beheertype'!A48,'4. Beheertypen complexiteit'!$A$8:$I$59,9,FALSE),"Nvt")))))))</f>
        <v>Nvt</v>
      </c>
      <c r="E48" s="373" t="str">
        <f>IF(C48='1. Samenvatting'!$H$9,VLOOKUP('2. Kostprijs per beheertype'!D48,'1. Samenvatting'!$G$9:$N$15,2,FALSE),IF(C48='1. Samenvatting'!$I$9,VLOOKUP('2. Kostprijs per beheertype'!D48,'1. Samenvatting'!$G$9:$N$15,3),IF(C48='1. Samenvatting'!$J$9,VLOOKUP('2. Kostprijs per beheertype'!D48,'1. Samenvatting'!$G$9:$N$15,4),IF(C48='1. Samenvatting'!$K$9,VLOOKUP('2. Kostprijs per beheertype'!D48,'1. Samenvatting'!$G$9:$N$15,5),IF(C48='1. Samenvatting'!$L$9,VLOOKUP('2. Kostprijs per beheertype'!D48,'1. Samenvatting'!$G$9:$N$15,6),IF(C48='1. Samenvatting'!$M$9,VLOOKUP('2. Kostprijs per beheertype'!D48,'1. Samenvatting'!$G$9:$N$15,7),IF(C48='1. Samenvatting'!$N$9,VLOOKUP('2. Kostprijs per beheertype'!D48,'1. Samenvatting'!$G$9:$N$15,8),"Nvt")))))))</f>
        <v>Nvt</v>
      </c>
      <c r="F48" s="373" t="str">
        <f>IF(C48='1. Samenvatting'!$H$9,VLOOKUP('2. Kostprijs per beheertype'!D48,'1. Samenvatting'!$G$16:$N$20,2,FALSE),IF(C48='1. Samenvatting'!$I$9,VLOOKUP('2. Kostprijs per beheertype'!D48,'1. Samenvatting'!$G$16:$N$20,3,FALSE),IF(C48='1. Samenvatting'!$J$9,VLOOKUP('2. Kostprijs per beheertype'!D48,'1. Samenvatting'!$G$16:$N$20,4,FALSE),IF(C48='1. Samenvatting'!$K$9,VLOOKUP('2. Kostprijs per beheertype'!D48,'1. Samenvatting'!$G$16:$N$20,5,FALSE),IF(C48='1. Samenvatting'!$L$9,VLOOKUP('2. Kostprijs per beheertype'!D48,'1. Samenvatting'!$G$16:$N$20,6,FALSE),IF(C48='1. Samenvatting'!$M$9,VLOOKUP('2. Kostprijs per beheertype'!D48,'1. Samenvatting'!$G$16:$N$20,7,FALSE),IF(C48='1. Samenvatting'!$N$9,VLOOKUP('2. Kostprijs per beheertype'!D48,'1. Samenvatting'!$G$16:$N$20,8,FALSE),"Nvt")))))))</f>
        <v>Nvt</v>
      </c>
      <c r="G48" s="374">
        <v>6</v>
      </c>
      <c r="H48" s="373">
        <f t="shared" si="0"/>
        <v>0</v>
      </c>
      <c r="I48" s="373">
        <f t="shared" si="1"/>
        <v>0</v>
      </c>
      <c r="J48" s="373"/>
      <c r="K48" s="393"/>
      <c r="L48" s="394"/>
    </row>
    <row r="49" spans="1:12" s="300" customFormat="1" ht="9.9499999999999993" customHeight="1" x14ac:dyDescent="0.15">
      <c r="A49" s="400" t="s">
        <v>58</v>
      </c>
      <c r="B49" s="400" t="s">
        <v>59</v>
      </c>
      <c r="C49" s="389" t="s">
        <v>25</v>
      </c>
      <c r="D49" s="390" t="str">
        <f>IF(C49='4. Beheertypen complexiteit'!$C$6,VLOOKUP('2. Kostprijs per beheertype'!A49,'4. Beheertypen complexiteit'!$A$8:$I$59,3,FALSE),IF(C49='4. Beheertypen complexiteit'!$D$6,VLOOKUP('2. Kostprijs per beheertype'!A49,'4. Beheertypen complexiteit'!$A$8:$I$59,4,FALSE),IF(C49='4. Beheertypen complexiteit'!$E$6,VLOOKUP('2. Kostprijs per beheertype'!A49,'4. Beheertypen complexiteit'!$A$8:$I$59,5,FALSE),IF(C49='4. Beheertypen complexiteit'!$F$6,VLOOKUP('2. Kostprijs per beheertype'!A49,'4. Beheertypen complexiteit'!$A$8:$I$59,6,FALSE),IF(C49='4. Beheertypen complexiteit'!$G$6,VLOOKUP('2. Kostprijs per beheertype'!A49,'4. Beheertypen complexiteit'!$A$8:$I$59,7,FALSE),IF(C49='4. Beheertypen complexiteit'!$H$6,VLOOKUP('2. Kostprijs per beheertype'!A49,'4. Beheertypen complexiteit'!$A$8:$I$59,8,FALSE),IF(C49='4. Beheertypen complexiteit'!$I$6,VLOOKUP('2. Kostprijs per beheertype'!A49,'4. Beheertypen complexiteit'!$A$8:$I$59,9,FALSE),"Nvt")))))))</f>
        <v>Nvt</v>
      </c>
      <c r="E49" s="391" t="str">
        <f>IF(C49='1. Samenvatting'!$H$9,VLOOKUP('2. Kostprijs per beheertype'!D49,'1. Samenvatting'!$G$9:$N$15,2,FALSE),IF(C49='1. Samenvatting'!$I$9,VLOOKUP('2. Kostprijs per beheertype'!D49,'1. Samenvatting'!$G$9:$N$15,3),IF(C49='1. Samenvatting'!$J$9,VLOOKUP('2. Kostprijs per beheertype'!D49,'1. Samenvatting'!$G$9:$N$15,4),IF(C49='1. Samenvatting'!$K$9,VLOOKUP('2. Kostprijs per beheertype'!D49,'1. Samenvatting'!$G$9:$N$15,5),IF(C49='1. Samenvatting'!$L$9,VLOOKUP('2. Kostprijs per beheertype'!D49,'1. Samenvatting'!$G$9:$N$15,6),IF(C49='1. Samenvatting'!$M$9,VLOOKUP('2. Kostprijs per beheertype'!D49,'1. Samenvatting'!$G$9:$N$15,7),IF(C49='1. Samenvatting'!$N$9,VLOOKUP('2. Kostprijs per beheertype'!D49,'1. Samenvatting'!$G$9:$N$15,8),"Nvt")))))))</f>
        <v>Nvt</v>
      </c>
      <c r="F49" s="391" t="str">
        <f>IF(C49='1. Samenvatting'!$H$9,VLOOKUP('2. Kostprijs per beheertype'!D49,'1. Samenvatting'!$G$16:$N$20,2,FALSE),IF(C49='1. Samenvatting'!$I$9,VLOOKUP('2. Kostprijs per beheertype'!D49,'1. Samenvatting'!$G$16:$N$20,3,FALSE),IF(C49='1. Samenvatting'!$J$9,VLOOKUP('2. Kostprijs per beheertype'!D49,'1. Samenvatting'!$G$16:$N$20,4,FALSE),IF(C49='1. Samenvatting'!$K$9,VLOOKUP('2. Kostprijs per beheertype'!D49,'1. Samenvatting'!$G$16:$N$20,5,FALSE),IF(C49='1. Samenvatting'!$L$9,VLOOKUP('2. Kostprijs per beheertype'!D49,'1. Samenvatting'!$G$16:$N$20,6,FALSE),IF(C49='1. Samenvatting'!$M$9,VLOOKUP('2. Kostprijs per beheertype'!D49,'1. Samenvatting'!$G$16:$N$20,7,FALSE),IF(C49='1. Samenvatting'!$N$9,VLOOKUP('2. Kostprijs per beheertype'!D49,'1. Samenvatting'!$G$16:$N$20,8,FALSE),"Nvt")))))))</f>
        <v>Nvt</v>
      </c>
      <c r="G49" s="392">
        <v>6</v>
      </c>
      <c r="H49" s="391">
        <f t="shared" si="0"/>
        <v>0</v>
      </c>
      <c r="I49" s="391">
        <f t="shared" si="1"/>
        <v>0</v>
      </c>
      <c r="J49" s="391"/>
      <c r="K49" s="393"/>
      <c r="L49" s="394"/>
    </row>
    <row r="50" spans="1:12" s="300" customFormat="1" ht="9.9499999999999993" customHeight="1" x14ac:dyDescent="0.15">
      <c r="A50" s="400" t="s">
        <v>58</v>
      </c>
      <c r="B50" s="400" t="s">
        <v>59</v>
      </c>
      <c r="C50" s="371" t="s">
        <v>155</v>
      </c>
      <c r="D50" s="372" t="str">
        <f>IF(C50='4. Beheertypen complexiteit'!$C$6,VLOOKUP('2. Kostprijs per beheertype'!A50,'4. Beheertypen complexiteit'!$A$8:$I$59,3,FALSE),IF(C50='4. Beheertypen complexiteit'!$D$6,VLOOKUP('2. Kostprijs per beheertype'!A50,'4. Beheertypen complexiteit'!$A$8:$I$59,4,FALSE),IF(C50='4. Beheertypen complexiteit'!$E$6,VLOOKUP('2. Kostprijs per beheertype'!A50,'4. Beheertypen complexiteit'!$A$8:$I$59,5,FALSE),IF(C50='4. Beheertypen complexiteit'!$F$6,VLOOKUP('2. Kostprijs per beheertype'!A50,'4. Beheertypen complexiteit'!$A$8:$I$59,6,FALSE),IF(C50='4. Beheertypen complexiteit'!$G$6,VLOOKUP('2. Kostprijs per beheertype'!A50,'4. Beheertypen complexiteit'!$A$8:$I$59,7,FALSE),IF(C50='4. Beheertypen complexiteit'!$H$6,VLOOKUP('2. Kostprijs per beheertype'!A50,'4. Beheertypen complexiteit'!$A$8:$I$59,8,FALSE),IF(C50='4. Beheertypen complexiteit'!$I$6,VLOOKUP('2. Kostprijs per beheertype'!A50,'4. Beheertypen complexiteit'!$A$8:$I$59,9,FALSE),"Nvt")))))))</f>
        <v>Nvt</v>
      </c>
      <c r="E50" s="373" t="str">
        <f>IF(C50='1. Samenvatting'!$H$9,VLOOKUP('2. Kostprijs per beheertype'!D50,'1. Samenvatting'!$G$9:$N$15,2,FALSE),IF(C50='1. Samenvatting'!$I$9,VLOOKUP('2. Kostprijs per beheertype'!D50,'1. Samenvatting'!$G$9:$N$15,3),IF(C50='1. Samenvatting'!$J$9,VLOOKUP('2. Kostprijs per beheertype'!D50,'1. Samenvatting'!$G$9:$N$15,4),IF(C50='1. Samenvatting'!$K$9,VLOOKUP('2. Kostprijs per beheertype'!D50,'1. Samenvatting'!$G$9:$N$15,5),IF(C50='1. Samenvatting'!$L$9,VLOOKUP('2. Kostprijs per beheertype'!D50,'1. Samenvatting'!$G$9:$N$15,6),IF(C50='1. Samenvatting'!$M$9,VLOOKUP('2. Kostprijs per beheertype'!D50,'1. Samenvatting'!$G$9:$N$15,7),IF(C50='1. Samenvatting'!$N$9,VLOOKUP('2. Kostprijs per beheertype'!D50,'1. Samenvatting'!$G$9:$N$15,8),"Nvt")))))))</f>
        <v>Nvt</v>
      </c>
      <c r="F50" s="373" t="str">
        <f>IF(C50='1. Samenvatting'!$H$9,VLOOKUP('2. Kostprijs per beheertype'!D50,'1. Samenvatting'!$G$16:$N$20,2,FALSE),IF(C50='1. Samenvatting'!$I$9,VLOOKUP('2. Kostprijs per beheertype'!D50,'1. Samenvatting'!$G$16:$N$20,3,FALSE),IF(C50='1. Samenvatting'!$J$9,VLOOKUP('2. Kostprijs per beheertype'!D50,'1. Samenvatting'!$G$16:$N$20,4,FALSE),IF(C50='1. Samenvatting'!$K$9,VLOOKUP('2. Kostprijs per beheertype'!D50,'1. Samenvatting'!$G$16:$N$20,5,FALSE),IF(C50='1. Samenvatting'!$L$9,VLOOKUP('2. Kostprijs per beheertype'!D50,'1. Samenvatting'!$G$16:$N$20,6,FALSE),IF(C50='1. Samenvatting'!$M$9,VLOOKUP('2. Kostprijs per beheertype'!D50,'1. Samenvatting'!$G$16:$N$20,7,FALSE),IF(C50='1. Samenvatting'!$N$9,VLOOKUP('2. Kostprijs per beheertype'!D50,'1. Samenvatting'!$G$16:$N$20,8,FALSE),"Nvt")))))))</f>
        <v>Nvt</v>
      </c>
      <c r="G50" s="374">
        <v>6</v>
      </c>
      <c r="H50" s="373">
        <f t="shared" si="0"/>
        <v>0</v>
      </c>
      <c r="I50" s="373">
        <f t="shared" si="1"/>
        <v>0</v>
      </c>
      <c r="J50" s="373"/>
      <c r="K50" s="393"/>
      <c r="L50" s="394"/>
    </row>
    <row r="51" spans="1:12" s="300" customFormat="1" ht="9.9499999999999993" customHeight="1" x14ac:dyDescent="0.15">
      <c r="A51" s="401" t="s">
        <v>58</v>
      </c>
      <c r="B51" s="401" t="s">
        <v>59</v>
      </c>
      <c r="C51" s="379" t="s">
        <v>16</v>
      </c>
      <c r="D51" s="380" t="str">
        <f>IF(C51='4. Beheertypen complexiteit'!$C$6,VLOOKUP('2. Kostprijs per beheertype'!A51,'4. Beheertypen complexiteit'!$A$8:$I$59,3,FALSE),IF(C51='4. Beheertypen complexiteit'!$D$6,VLOOKUP('2. Kostprijs per beheertype'!A51,'4. Beheertypen complexiteit'!$A$8:$I$59,4,FALSE),IF(C51='4. Beheertypen complexiteit'!$E$6,VLOOKUP('2. Kostprijs per beheertype'!A51,'4. Beheertypen complexiteit'!$A$8:$I$59,5,FALSE),IF(C51='4. Beheertypen complexiteit'!$F$6,VLOOKUP('2. Kostprijs per beheertype'!A51,'4. Beheertypen complexiteit'!$A$8:$I$59,6,FALSE),IF(C51='4. Beheertypen complexiteit'!$G$6,VLOOKUP('2. Kostprijs per beheertype'!A51,'4. Beheertypen complexiteit'!$A$8:$I$59,7,FALSE),IF(C51='4. Beheertypen complexiteit'!$H$6,VLOOKUP('2. Kostprijs per beheertype'!A51,'4. Beheertypen complexiteit'!$A$8:$I$59,8,FALSE),IF(C51='4. Beheertypen complexiteit'!$I$6,VLOOKUP('2. Kostprijs per beheertype'!A51,'4. Beheertypen complexiteit'!$A$8:$I$59,9,FALSE),"Nvt")))))))</f>
        <v>Nvt</v>
      </c>
      <c r="E51" s="381" t="str">
        <f>IF(C51='1. Samenvatting'!$H$9,VLOOKUP('2. Kostprijs per beheertype'!D51,'1. Samenvatting'!$G$9:$N$15,2,FALSE),IF(C51='1. Samenvatting'!$I$9,VLOOKUP('2. Kostprijs per beheertype'!D51,'1. Samenvatting'!$G$9:$N$15,3),IF(C51='1. Samenvatting'!$J$9,VLOOKUP('2. Kostprijs per beheertype'!D51,'1. Samenvatting'!$G$9:$N$15,4),IF(C51='1. Samenvatting'!$K$9,VLOOKUP('2. Kostprijs per beheertype'!D51,'1. Samenvatting'!$G$9:$N$15,5),IF(C51='1. Samenvatting'!$L$9,VLOOKUP('2. Kostprijs per beheertype'!D51,'1. Samenvatting'!$G$9:$N$15,6),IF(C51='1. Samenvatting'!$M$9,VLOOKUP('2. Kostprijs per beheertype'!D51,'1. Samenvatting'!$G$9:$N$15,7),IF(C51='1. Samenvatting'!$N$9,VLOOKUP('2. Kostprijs per beheertype'!D51,'1. Samenvatting'!$G$9:$N$15,8),"Nvt")))))))</f>
        <v>Nvt</v>
      </c>
      <c r="F51" s="381" t="str">
        <f>IF(C51='1. Samenvatting'!$H$9,VLOOKUP('2. Kostprijs per beheertype'!D51,'1. Samenvatting'!$G$16:$N$20,2,FALSE),IF(C51='1. Samenvatting'!$I$9,VLOOKUP('2. Kostprijs per beheertype'!D51,'1. Samenvatting'!$G$16:$N$20,3,FALSE),IF(C51='1. Samenvatting'!$J$9,VLOOKUP('2. Kostprijs per beheertype'!D51,'1. Samenvatting'!$G$16:$N$20,4,FALSE),IF(C51='1. Samenvatting'!$K$9,VLOOKUP('2. Kostprijs per beheertype'!D51,'1. Samenvatting'!$G$16:$N$20,5,FALSE),IF(C51='1. Samenvatting'!$L$9,VLOOKUP('2. Kostprijs per beheertype'!D51,'1. Samenvatting'!$G$16:$N$20,6,FALSE),IF(C51='1. Samenvatting'!$M$9,VLOOKUP('2. Kostprijs per beheertype'!D51,'1. Samenvatting'!$G$16:$N$20,7,FALSE),IF(C51='1. Samenvatting'!$N$9,VLOOKUP('2. Kostprijs per beheertype'!D51,'1. Samenvatting'!$G$16:$N$20,8,FALSE),"Nvt")))))))</f>
        <v>Nvt</v>
      </c>
      <c r="G51" s="382">
        <v>12</v>
      </c>
      <c r="H51" s="381">
        <f t="shared" si="0"/>
        <v>0</v>
      </c>
      <c r="I51" s="381">
        <f t="shared" si="1"/>
        <v>0</v>
      </c>
      <c r="J51" s="381"/>
      <c r="K51" s="396"/>
      <c r="L51" s="397"/>
    </row>
    <row r="52" spans="1:12" s="300" customFormat="1" ht="9.9499999999999993" customHeight="1" x14ac:dyDescent="0.15">
      <c r="A52" s="398" t="s">
        <v>61</v>
      </c>
      <c r="B52" s="398" t="s">
        <v>62</v>
      </c>
      <c r="C52" s="365" t="s">
        <v>19</v>
      </c>
      <c r="D52" s="366">
        <f>IF(C52='4. Beheertypen complexiteit'!$C$6,VLOOKUP('2. Kostprijs per beheertype'!A52,'4. Beheertypen complexiteit'!$A$8:$I$59,3,FALSE),IF(C52='4. Beheertypen complexiteit'!$D$6,VLOOKUP('2. Kostprijs per beheertype'!A52,'4. Beheertypen complexiteit'!$A$8:$I$59,4,FALSE),IF(C52='4. Beheertypen complexiteit'!$E$6,VLOOKUP('2. Kostprijs per beheertype'!A52,'4. Beheertypen complexiteit'!$A$8:$I$59,5,FALSE),IF(C52='4. Beheertypen complexiteit'!$F$6,VLOOKUP('2. Kostprijs per beheertype'!A52,'4. Beheertypen complexiteit'!$A$8:$I$59,6,FALSE),IF(C52='4. Beheertypen complexiteit'!$G$6,VLOOKUP('2. Kostprijs per beheertype'!A52,'4. Beheertypen complexiteit'!$A$8:$I$59,7,FALSE),IF(C52='4. Beheertypen complexiteit'!$H$6,VLOOKUP('2. Kostprijs per beheertype'!A52,'4. Beheertypen complexiteit'!$A$8:$I$59,8,FALSE),IF(C52='4. Beheertypen complexiteit'!$I$6,VLOOKUP('2. Kostprijs per beheertype'!A52,'4. Beheertypen complexiteit'!$A$8:$I$59,9,FALSE),"Nvt")))))))</f>
        <v>2</v>
      </c>
      <c r="E52" s="367">
        <f>IF(C52='1. Samenvatting'!$H$9,VLOOKUP('2. Kostprijs per beheertype'!D52,'1. Samenvatting'!$G$9:$N$15,2,FALSE),IF(C52='1. Samenvatting'!$I$9,VLOOKUP('2. Kostprijs per beheertype'!D52,'1. Samenvatting'!$G$9:$N$15,3),IF(C52='1. Samenvatting'!$J$9,VLOOKUP('2. Kostprijs per beheertype'!D52,'1. Samenvatting'!$G$9:$N$15,4),IF(C52='1. Samenvatting'!$K$9,VLOOKUP('2. Kostprijs per beheertype'!D52,'1. Samenvatting'!$G$9:$N$15,5),IF(C52='1. Samenvatting'!$L$9,VLOOKUP('2. Kostprijs per beheertype'!D52,'1. Samenvatting'!$G$9:$N$15,6),IF(C52='1. Samenvatting'!$M$9,VLOOKUP('2. Kostprijs per beheertype'!D52,'1. Samenvatting'!$G$9:$N$15,7),IF(C52='1. Samenvatting'!$N$9,VLOOKUP('2. Kostprijs per beheertype'!D52,'1. Samenvatting'!$G$9:$N$15,8),"Nvt")))))))</f>
        <v>55.738852766567376</v>
      </c>
      <c r="F52" s="367">
        <f>IF(C52='1. Samenvatting'!$H$9,VLOOKUP('2. Kostprijs per beheertype'!D52,'1. Samenvatting'!$G$16:$N$20,2,FALSE),IF(C52='1. Samenvatting'!$I$9,VLOOKUP('2. Kostprijs per beheertype'!D52,'1. Samenvatting'!$G$16:$N$20,3,FALSE),IF(C52='1. Samenvatting'!$J$9,VLOOKUP('2. Kostprijs per beheertype'!D52,'1. Samenvatting'!$G$16:$N$20,4,FALSE),IF(C52='1. Samenvatting'!$K$9,VLOOKUP('2. Kostprijs per beheertype'!D52,'1. Samenvatting'!$G$16:$N$20,5,FALSE),IF(C52='1. Samenvatting'!$L$9,VLOOKUP('2. Kostprijs per beheertype'!D52,'1. Samenvatting'!$G$16:$N$20,6,FALSE),IF(C52='1. Samenvatting'!$M$9,VLOOKUP('2. Kostprijs per beheertype'!D52,'1. Samenvatting'!$G$16:$N$20,7,FALSE),IF(C52='1. Samenvatting'!$N$9,VLOOKUP('2. Kostprijs per beheertype'!D52,'1. Samenvatting'!$G$16:$N$20,8,FALSE),"Nvt")))))))</f>
        <v>66.622547266567381</v>
      </c>
      <c r="G52" s="368">
        <v>6</v>
      </c>
      <c r="H52" s="367">
        <f t="shared" si="0"/>
        <v>9.2898087944278966</v>
      </c>
      <c r="I52" s="367">
        <f t="shared" si="1"/>
        <v>11.103757877761231</v>
      </c>
      <c r="J52" s="367">
        <f>'3. Parameters kostprijsmodel'!$F$36</f>
        <v>3.0089563425755728</v>
      </c>
      <c r="K52" s="361">
        <f>SUM(H52:H54)+$J$52</f>
        <v>30.764438637493029</v>
      </c>
      <c r="L52" s="362">
        <f>SUM(I52:I54)+$J$52</f>
        <v>36.69991411300343</v>
      </c>
    </row>
    <row r="53" spans="1:12" s="300" customFormat="1" ht="9.9499999999999993" customHeight="1" x14ac:dyDescent="0.15">
      <c r="A53" s="400" t="s">
        <v>61</v>
      </c>
      <c r="B53" s="400" t="s">
        <v>62</v>
      </c>
      <c r="C53" s="371" t="s">
        <v>21</v>
      </c>
      <c r="D53" s="372">
        <f>IF(C53='4. Beheertypen complexiteit'!$C$6,VLOOKUP('2. Kostprijs per beheertype'!A53,'4. Beheertypen complexiteit'!$A$8:$I$59,3,FALSE),IF(C53='4. Beheertypen complexiteit'!$D$6,VLOOKUP('2. Kostprijs per beheertype'!A53,'4. Beheertypen complexiteit'!$A$8:$I$59,4,FALSE),IF(C53='4. Beheertypen complexiteit'!$E$6,VLOOKUP('2. Kostprijs per beheertype'!A53,'4. Beheertypen complexiteit'!$A$8:$I$59,5,FALSE),IF(C53='4. Beheertypen complexiteit'!$F$6,VLOOKUP('2. Kostprijs per beheertype'!A53,'4. Beheertypen complexiteit'!$A$8:$I$59,6,FALSE),IF(C53='4. Beheertypen complexiteit'!$G$6,VLOOKUP('2. Kostprijs per beheertype'!A53,'4. Beheertypen complexiteit'!$A$8:$I$59,7,FALSE),IF(C53='4. Beheertypen complexiteit'!$H$6,VLOOKUP('2. Kostprijs per beheertype'!A53,'4. Beheertypen complexiteit'!$A$8:$I$59,8,FALSE),IF(C53='4. Beheertypen complexiteit'!$I$6,VLOOKUP('2. Kostprijs per beheertype'!A53,'4. Beheertypen complexiteit'!$A$8:$I$59,9,FALSE),"Nvt")))))))</f>
        <v>1</v>
      </c>
      <c r="E53" s="373">
        <f>IF(C53='1. Samenvatting'!$H$9,VLOOKUP('2. Kostprijs per beheertype'!D53,'1. Samenvatting'!$G$9:$N$15,2,FALSE),IF(C53='1. Samenvatting'!$I$9,VLOOKUP('2. Kostprijs per beheertype'!D53,'1. Samenvatting'!$G$9:$N$15,3),IF(C53='1. Samenvatting'!$J$9,VLOOKUP('2. Kostprijs per beheertype'!D53,'1. Samenvatting'!$G$9:$N$15,4),IF(C53='1. Samenvatting'!$K$9,VLOOKUP('2. Kostprijs per beheertype'!D53,'1. Samenvatting'!$G$9:$N$15,5),IF(C53='1. Samenvatting'!$L$9,VLOOKUP('2. Kostprijs per beheertype'!D53,'1. Samenvatting'!$G$9:$N$15,6),IF(C53='1. Samenvatting'!$M$9,VLOOKUP('2. Kostprijs per beheertype'!D53,'1. Samenvatting'!$G$9:$N$15,7),IF(C53='1. Samenvatting'!$N$9,VLOOKUP('2. Kostprijs per beheertype'!D53,'1. Samenvatting'!$G$9:$N$15,8),"Nvt")))))))</f>
        <v>50.928209617678966</v>
      </c>
      <c r="F53" s="373">
        <f>IF(C53='1. Samenvatting'!$H$9,VLOOKUP('2. Kostprijs per beheertype'!D53,'1. Samenvatting'!$G$16:$N$20,2,FALSE),IF(C53='1. Samenvatting'!$I$9,VLOOKUP('2. Kostprijs per beheertype'!D53,'1. Samenvatting'!$G$16:$N$20,3,FALSE),IF(C53='1. Samenvatting'!$J$9,VLOOKUP('2. Kostprijs per beheertype'!D53,'1. Samenvatting'!$G$16:$N$20,4,FALSE),IF(C53='1. Samenvatting'!$K$9,VLOOKUP('2. Kostprijs per beheertype'!D53,'1. Samenvatting'!$G$16:$N$20,5,FALSE),IF(C53='1. Samenvatting'!$L$9,VLOOKUP('2. Kostprijs per beheertype'!D53,'1. Samenvatting'!$G$16:$N$20,6,FALSE),IF(C53='1. Samenvatting'!$M$9,VLOOKUP('2. Kostprijs per beheertype'!D53,'1. Samenvatting'!$G$16:$N$20,7,FALSE),IF(C53='1. Samenvatting'!$N$9,VLOOKUP('2. Kostprijs per beheertype'!D53,'1. Samenvatting'!$G$16:$N$20,8,FALSE),"Nvt")))))))</f>
        <v>52.877897479669919</v>
      </c>
      <c r="G53" s="374">
        <v>6</v>
      </c>
      <c r="H53" s="373">
        <f t="shared" si="0"/>
        <v>8.4880349362798277</v>
      </c>
      <c r="I53" s="373">
        <f t="shared" si="1"/>
        <v>8.8129829132783204</v>
      </c>
      <c r="J53" s="373"/>
      <c r="K53" s="393"/>
      <c r="L53" s="394"/>
    </row>
    <row r="54" spans="1:12" s="300" customFormat="1" ht="9.9499999999999993" customHeight="1" x14ac:dyDescent="0.15">
      <c r="A54" s="401" t="s">
        <v>61</v>
      </c>
      <c r="B54" s="401" t="s">
        <v>62</v>
      </c>
      <c r="C54" s="402" t="s">
        <v>25</v>
      </c>
      <c r="D54" s="403">
        <f>IF(C54='4. Beheertypen complexiteit'!$C$6,VLOOKUP('2. Kostprijs per beheertype'!A54,'4. Beheertypen complexiteit'!$A$8:$I$59,3,FALSE),IF(C54='4. Beheertypen complexiteit'!$D$6,VLOOKUP('2. Kostprijs per beheertype'!A54,'4. Beheertypen complexiteit'!$A$8:$I$59,4,FALSE),IF(C54='4. Beheertypen complexiteit'!$E$6,VLOOKUP('2. Kostprijs per beheertype'!A54,'4. Beheertypen complexiteit'!$A$8:$I$59,5,FALSE),IF(C54='4. Beheertypen complexiteit'!$F$6,VLOOKUP('2. Kostprijs per beheertype'!A54,'4. Beheertypen complexiteit'!$A$8:$I$59,6,FALSE),IF(C54='4. Beheertypen complexiteit'!$G$6,VLOOKUP('2. Kostprijs per beheertype'!A54,'4. Beheertypen complexiteit'!$A$8:$I$59,7,FALSE),IF(C54='4. Beheertypen complexiteit'!$H$6,VLOOKUP('2. Kostprijs per beheertype'!A54,'4. Beheertypen complexiteit'!$A$8:$I$59,8,FALSE),IF(C54='4. Beheertypen complexiteit'!$I$6,VLOOKUP('2. Kostprijs per beheertype'!A54,'4. Beheertypen complexiteit'!$A$8:$I$59,9,FALSE),"Nvt")))))))</f>
        <v>2</v>
      </c>
      <c r="E54" s="404">
        <f>IF(C54='1. Samenvatting'!$H$9,VLOOKUP('2. Kostprijs per beheertype'!D54,'1. Samenvatting'!$G$9:$N$15,2,FALSE),IF(C54='1. Samenvatting'!$I$9,VLOOKUP('2. Kostprijs per beheertype'!D54,'1. Samenvatting'!$G$9:$N$15,3),IF(C54='1. Samenvatting'!$J$9,VLOOKUP('2. Kostprijs per beheertype'!D54,'1. Samenvatting'!$G$9:$N$15,4),IF(C54='1. Samenvatting'!$K$9,VLOOKUP('2. Kostprijs per beheertype'!D54,'1. Samenvatting'!$G$9:$N$15,5),IF(C54='1. Samenvatting'!$L$9,VLOOKUP('2. Kostprijs per beheertype'!D54,'1. Samenvatting'!$G$9:$N$15,6),IF(C54='1. Samenvatting'!$M$9,VLOOKUP('2. Kostprijs per beheertype'!D54,'1. Samenvatting'!$G$9:$N$15,7),IF(C54='1. Samenvatting'!$N$9,VLOOKUP('2. Kostprijs per beheertype'!D54,'1. Samenvatting'!$G$9:$N$15,8),"Nvt")))))))</f>
        <v>59.865831385258396</v>
      </c>
      <c r="F54" s="404">
        <f>IF(C54='1. Samenvatting'!$H$9,VLOOKUP('2. Kostprijs per beheertype'!D54,'1. Samenvatting'!$G$16:$N$20,2,FALSE),IF(C54='1. Samenvatting'!$I$9,VLOOKUP('2. Kostprijs per beheertype'!D54,'1. Samenvatting'!$G$16:$N$20,3,FALSE),IF(C54='1. Samenvatting'!$J$9,VLOOKUP('2. Kostprijs per beheertype'!D54,'1. Samenvatting'!$G$16:$N$20,4,FALSE),IF(C54='1. Samenvatting'!$K$9,VLOOKUP('2. Kostprijs per beheertype'!D54,'1. Samenvatting'!$G$16:$N$20,5,FALSE),IF(C54='1. Samenvatting'!$L$9,VLOOKUP('2. Kostprijs per beheertype'!D54,'1. Samenvatting'!$G$16:$N$20,6,FALSE),IF(C54='1. Samenvatting'!$M$9,VLOOKUP('2. Kostprijs per beheertype'!D54,'1. Samenvatting'!$G$16:$N$20,7,FALSE),IF(C54='1. Samenvatting'!$N$9,VLOOKUP('2. Kostprijs per beheertype'!D54,'1. Samenvatting'!$G$16:$N$20,8,FALSE),"Nvt")))))))</f>
        <v>82.645301876329853</v>
      </c>
      <c r="G54" s="405">
        <v>6</v>
      </c>
      <c r="H54" s="404">
        <f t="shared" si="0"/>
        <v>9.9776385642097321</v>
      </c>
      <c r="I54" s="404">
        <f t="shared" si="1"/>
        <v>13.774216979388308</v>
      </c>
      <c r="J54" s="404"/>
      <c r="K54" s="396"/>
      <c r="L54" s="397"/>
    </row>
    <row r="55" spans="1:12" s="300" customFormat="1" ht="9.9499999999999993" customHeight="1" x14ac:dyDescent="0.15">
      <c r="A55" s="334" t="s">
        <v>63</v>
      </c>
      <c r="B55" s="334" t="s">
        <v>64</v>
      </c>
      <c r="C55" s="389" t="s">
        <v>19</v>
      </c>
      <c r="D55" s="390">
        <f>IF(C55='4. Beheertypen complexiteit'!$C$6,VLOOKUP('2. Kostprijs per beheertype'!A55,'4. Beheertypen complexiteit'!$A$8:$I$59,3,FALSE),IF(C55='4. Beheertypen complexiteit'!$D$6,VLOOKUP('2. Kostprijs per beheertype'!A55,'4. Beheertypen complexiteit'!$A$8:$I$59,4,FALSE),IF(C55='4. Beheertypen complexiteit'!$E$6,VLOOKUP('2. Kostprijs per beheertype'!A55,'4. Beheertypen complexiteit'!$A$8:$I$59,5,FALSE),IF(C55='4. Beheertypen complexiteit'!$F$6,VLOOKUP('2. Kostprijs per beheertype'!A55,'4. Beheertypen complexiteit'!$A$8:$I$59,6,FALSE),IF(C55='4. Beheertypen complexiteit'!$G$6,VLOOKUP('2. Kostprijs per beheertype'!A55,'4. Beheertypen complexiteit'!$A$8:$I$59,7,FALSE),IF(C55='4. Beheertypen complexiteit'!$H$6,VLOOKUP('2. Kostprijs per beheertype'!A55,'4. Beheertypen complexiteit'!$A$8:$I$59,8,FALSE),IF(C55='4. Beheertypen complexiteit'!$I$6,VLOOKUP('2. Kostprijs per beheertype'!A55,'4. Beheertypen complexiteit'!$A$8:$I$59,9,FALSE),"Nvt")))))))</f>
        <v>1</v>
      </c>
      <c r="E55" s="391">
        <f>IF(C55='1. Samenvatting'!$H$9,VLOOKUP('2. Kostprijs per beheertype'!D55,'1. Samenvatting'!$G$9:$N$15,2,FALSE),IF(C55='1. Samenvatting'!$I$9,VLOOKUP('2. Kostprijs per beheertype'!D55,'1. Samenvatting'!$G$9:$N$15,3),IF(C55='1. Samenvatting'!$J$9,VLOOKUP('2. Kostprijs per beheertype'!D55,'1. Samenvatting'!$G$9:$N$15,4),IF(C55='1. Samenvatting'!$K$9,VLOOKUP('2. Kostprijs per beheertype'!D55,'1. Samenvatting'!$G$9:$N$15,5),IF(C55='1. Samenvatting'!$L$9,VLOOKUP('2. Kostprijs per beheertype'!D55,'1. Samenvatting'!$G$9:$N$15,6),IF(C55='1. Samenvatting'!$M$9,VLOOKUP('2. Kostprijs per beheertype'!D55,'1. Samenvatting'!$G$9:$N$15,7),IF(C55='1. Samenvatting'!$N$9,VLOOKUP('2. Kostprijs per beheertype'!D55,'1. Samenvatting'!$G$9:$N$15,8),"Nvt")))))))</f>
        <v>92.159399805164711</v>
      </c>
      <c r="F55" s="391">
        <f>IF(C55='1. Samenvatting'!$H$9,VLOOKUP('2. Kostprijs per beheertype'!D55,'1. Samenvatting'!$G$16:$N$20,2,FALSE),IF(C55='1. Samenvatting'!$I$9,VLOOKUP('2. Kostprijs per beheertype'!D55,'1. Samenvatting'!$G$16:$N$20,3,FALSE),IF(C55='1. Samenvatting'!$J$9,VLOOKUP('2. Kostprijs per beheertype'!D55,'1. Samenvatting'!$G$16:$N$20,4,FALSE),IF(C55='1. Samenvatting'!$K$9,VLOOKUP('2. Kostprijs per beheertype'!D55,'1. Samenvatting'!$G$16:$N$20,5,FALSE),IF(C55='1. Samenvatting'!$L$9,VLOOKUP('2. Kostprijs per beheertype'!D55,'1. Samenvatting'!$G$16:$N$20,6,FALSE),IF(C55='1. Samenvatting'!$M$9,VLOOKUP('2. Kostprijs per beheertype'!D55,'1. Samenvatting'!$G$16:$N$20,7,FALSE),IF(C55='1. Samenvatting'!$N$9,VLOOKUP('2. Kostprijs per beheertype'!D55,'1. Samenvatting'!$G$16:$N$20,8,FALSE),"Nvt")))))))</f>
        <v>112.82583216627582</v>
      </c>
      <c r="G55" s="406">
        <v>6</v>
      </c>
      <c r="H55" s="391">
        <f t="shared" si="0"/>
        <v>15.359899967527452</v>
      </c>
      <c r="I55" s="391">
        <f t="shared" si="1"/>
        <v>18.804305361045969</v>
      </c>
      <c r="J55" s="391">
        <f>'3. Parameters kostprijsmodel'!$F$36</f>
        <v>3.0089563425755728</v>
      </c>
      <c r="K55" s="361">
        <f>SUM(H55:H59)+$J$55</f>
        <v>47.181862572096705</v>
      </c>
      <c r="L55" s="362">
        <f>SUM(I55:I59)+$J$55</f>
        <v>54.747794357792287</v>
      </c>
    </row>
    <row r="56" spans="1:12" s="300" customFormat="1" ht="9.9499999999999993" customHeight="1" x14ac:dyDescent="0.15">
      <c r="A56" s="400" t="s">
        <v>63</v>
      </c>
      <c r="B56" s="400" t="s">
        <v>64</v>
      </c>
      <c r="C56" s="389" t="s">
        <v>25</v>
      </c>
      <c r="D56" s="390">
        <f>IF(C56='4. Beheertypen complexiteit'!$C$6,VLOOKUP('2. Kostprijs per beheertype'!A56,'4. Beheertypen complexiteit'!$A$8:$I$59,3,FALSE),IF(C56='4. Beheertypen complexiteit'!$D$6,VLOOKUP('2. Kostprijs per beheertype'!A56,'4. Beheertypen complexiteit'!$A$8:$I$59,4,FALSE),IF(C56='4. Beheertypen complexiteit'!$E$6,VLOOKUP('2. Kostprijs per beheertype'!A56,'4. Beheertypen complexiteit'!$A$8:$I$59,5,FALSE),IF(C56='4. Beheertypen complexiteit'!$F$6,VLOOKUP('2. Kostprijs per beheertype'!A56,'4. Beheertypen complexiteit'!$A$8:$I$59,6,FALSE),IF(C56='4. Beheertypen complexiteit'!$G$6,VLOOKUP('2. Kostprijs per beheertype'!A56,'4. Beheertypen complexiteit'!$A$8:$I$59,7,FALSE),IF(C56='4. Beheertypen complexiteit'!$H$6,VLOOKUP('2. Kostprijs per beheertype'!A56,'4. Beheertypen complexiteit'!$A$8:$I$59,8,FALSE),IF(C56='4. Beheertypen complexiteit'!$I$6,VLOOKUP('2. Kostprijs per beheertype'!A56,'4. Beheertypen complexiteit'!$A$8:$I$59,9,FALSE),"Nvt")))))))</f>
        <v>2</v>
      </c>
      <c r="E56" s="391">
        <f>IF(C56='1. Samenvatting'!$H$9,VLOOKUP('2. Kostprijs per beheertype'!D56,'1. Samenvatting'!$G$9:$N$15,2,FALSE),IF(C56='1. Samenvatting'!$I$9,VLOOKUP('2. Kostprijs per beheertype'!D56,'1. Samenvatting'!$G$9:$N$15,3),IF(C56='1. Samenvatting'!$J$9,VLOOKUP('2. Kostprijs per beheertype'!D56,'1. Samenvatting'!$G$9:$N$15,4),IF(C56='1. Samenvatting'!$K$9,VLOOKUP('2. Kostprijs per beheertype'!D56,'1. Samenvatting'!$G$9:$N$15,5),IF(C56='1. Samenvatting'!$L$9,VLOOKUP('2. Kostprijs per beheertype'!D56,'1. Samenvatting'!$G$9:$N$15,6),IF(C56='1. Samenvatting'!$M$9,VLOOKUP('2. Kostprijs per beheertype'!D56,'1. Samenvatting'!$G$9:$N$15,7),IF(C56='1. Samenvatting'!$N$9,VLOOKUP('2. Kostprijs per beheertype'!D56,'1. Samenvatting'!$G$9:$N$15,8),"Nvt")))))))</f>
        <v>59.865831385258396</v>
      </c>
      <c r="F56" s="391">
        <f>IF(C56='1. Samenvatting'!$H$9,VLOOKUP('2. Kostprijs per beheertype'!D56,'1. Samenvatting'!$G$16:$N$20,2,FALSE),IF(C56='1. Samenvatting'!$I$9,VLOOKUP('2. Kostprijs per beheertype'!D56,'1. Samenvatting'!$G$16:$N$20,3,FALSE),IF(C56='1. Samenvatting'!$J$9,VLOOKUP('2. Kostprijs per beheertype'!D56,'1. Samenvatting'!$G$16:$N$20,4,FALSE),IF(C56='1. Samenvatting'!$K$9,VLOOKUP('2. Kostprijs per beheertype'!D56,'1. Samenvatting'!$G$16:$N$20,5,FALSE),IF(C56='1. Samenvatting'!$L$9,VLOOKUP('2. Kostprijs per beheertype'!D56,'1. Samenvatting'!$G$16:$N$20,6,FALSE),IF(C56='1. Samenvatting'!$M$9,VLOOKUP('2. Kostprijs per beheertype'!D56,'1. Samenvatting'!$G$16:$N$20,7,FALSE),IF(C56='1. Samenvatting'!$N$9,VLOOKUP('2. Kostprijs per beheertype'!D56,'1. Samenvatting'!$G$16:$N$20,8,FALSE),"Nvt")))))))</f>
        <v>82.645301876329853</v>
      </c>
      <c r="G56" s="406">
        <v>6</v>
      </c>
      <c r="H56" s="391">
        <f t="shared" si="0"/>
        <v>9.9776385642097321</v>
      </c>
      <c r="I56" s="391">
        <f t="shared" si="1"/>
        <v>13.774216979388308</v>
      </c>
      <c r="J56" s="391"/>
      <c r="K56" s="393"/>
      <c r="L56" s="394"/>
    </row>
    <row r="57" spans="1:12" s="300" customFormat="1" ht="9.9499999999999993" customHeight="1" x14ac:dyDescent="0.15">
      <c r="A57" s="400" t="s">
        <v>63</v>
      </c>
      <c r="B57" s="400" t="s">
        <v>64</v>
      </c>
      <c r="C57" s="389" t="s">
        <v>21</v>
      </c>
      <c r="D57" s="390">
        <f>IF(C57='4. Beheertypen complexiteit'!$C$6,VLOOKUP('2. Kostprijs per beheertype'!A57,'4. Beheertypen complexiteit'!$A$8:$I$59,3,FALSE),IF(C57='4. Beheertypen complexiteit'!$D$6,VLOOKUP('2. Kostprijs per beheertype'!A57,'4. Beheertypen complexiteit'!$A$8:$I$59,4,FALSE),IF(C57='4. Beheertypen complexiteit'!$E$6,VLOOKUP('2. Kostprijs per beheertype'!A57,'4. Beheertypen complexiteit'!$A$8:$I$59,5,FALSE),IF(C57='4. Beheertypen complexiteit'!$F$6,VLOOKUP('2. Kostprijs per beheertype'!A57,'4. Beheertypen complexiteit'!$A$8:$I$59,6,FALSE),IF(C57='4. Beheertypen complexiteit'!$G$6,VLOOKUP('2. Kostprijs per beheertype'!A57,'4. Beheertypen complexiteit'!$A$8:$I$59,7,FALSE),IF(C57='4. Beheertypen complexiteit'!$H$6,VLOOKUP('2. Kostprijs per beheertype'!A57,'4. Beheertypen complexiteit'!$A$8:$I$59,8,FALSE),IF(C57='4. Beheertypen complexiteit'!$I$6,VLOOKUP('2. Kostprijs per beheertype'!A57,'4. Beheertypen complexiteit'!$A$8:$I$59,9,FALSE),"Nvt")))))))</f>
        <v>1</v>
      </c>
      <c r="E57" s="391">
        <f>IF(C57='1. Samenvatting'!$H$9,VLOOKUP('2. Kostprijs per beheertype'!D57,'1. Samenvatting'!$G$9:$N$15,2,FALSE),IF(C57='1. Samenvatting'!$I$9,VLOOKUP('2. Kostprijs per beheertype'!D57,'1. Samenvatting'!$G$9:$N$15,3),IF(C57='1. Samenvatting'!$J$9,VLOOKUP('2. Kostprijs per beheertype'!D57,'1. Samenvatting'!$G$9:$N$15,4),IF(C57='1. Samenvatting'!$K$9,VLOOKUP('2. Kostprijs per beheertype'!D57,'1. Samenvatting'!$G$9:$N$15,5),IF(C57='1. Samenvatting'!$L$9,VLOOKUP('2. Kostprijs per beheertype'!D57,'1. Samenvatting'!$G$9:$N$15,6),IF(C57='1. Samenvatting'!$M$9,VLOOKUP('2. Kostprijs per beheertype'!D57,'1. Samenvatting'!$G$9:$N$15,7),IF(C57='1. Samenvatting'!$N$9,VLOOKUP('2. Kostprijs per beheertype'!D57,'1. Samenvatting'!$G$9:$N$15,8),"Nvt")))))))</f>
        <v>50.928209617678966</v>
      </c>
      <c r="F57" s="391">
        <f>IF(C57='1. Samenvatting'!$H$9,VLOOKUP('2. Kostprijs per beheertype'!D57,'1. Samenvatting'!$G$16:$N$20,2,FALSE),IF(C57='1. Samenvatting'!$I$9,VLOOKUP('2. Kostprijs per beheertype'!D57,'1. Samenvatting'!$G$16:$N$20,3,FALSE),IF(C57='1. Samenvatting'!$J$9,VLOOKUP('2. Kostprijs per beheertype'!D57,'1. Samenvatting'!$G$16:$N$20,4,FALSE),IF(C57='1. Samenvatting'!$K$9,VLOOKUP('2. Kostprijs per beheertype'!D57,'1. Samenvatting'!$G$16:$N$20,5,FALSE),IF(C57='1. Samenvatting'!$L$9,VLOOKUP('2. Kostprijs per beheertype'!D57,'1. Samenvatting'!$G$16:$N$20,6,FALSE),IF(C57='1. Samenvatting'!$M$9,VLOOKUP('2. Kostprijs per beheertype'!D57,'1. Samenvatting'!$G$16:$N$20,7,FALSE),IF(C57='1. Samenvatting'!$N$9,VLOOKUP('2. Kostprijs per beheertype'!D57,'1. Samenvatting'!$G$16:$N$20,8,FALSE),"Nvt")))))))</f>
        <v>52.877897479669919</v>
      </c>
      <c r="G57" s="406">
        <v>6</v>
      </c>
      <c r="H57" s="391">
        <f t="shared" si="0"/>
        <v>8.4880349362798277</v>
      </c>
      <c r="I57" s="391">
        <f t="shared" si="1"/>
        <v>8.8129829132783204</v>
      </c>
      <c r="J57" s="391"/>
      <c r="K57" s="393"/>
      <c r="L57" s="394"/>
    </row>
    <row r="58" spans="1:12" s="300" customFormat="1" ht="9.9499999999999993" customHeight="1" x14ac:dyDescent="0.15">
      <c r="A58" s="400" t="s">
        <v>63</v>
      </c>
      <c r="B58" s="400" t="s">
        <v>64</v>
      </c>
      <c r="C58" s="389" t="s">
        <v>155</v>
      </c>
      <c r="D58" s="390" t="str">
        <f>IF(C58='4. Beheertypen complexiteit'!$C$6,VLOOKUP('2. Kostprijs per beheertype'!A58,'4. Beheertypen complexiteit'!$A$8:$I$59,3,FALSE),IF(C58='4. Beheertypen complexiteit'!$D$6,VLOOKUP('2. Kostprijs per beheertype'!A58,'4. Beheertypen complexiteit'!$A$8:$I$59,4,FALSE),IF(C58='4. Beheertypen complexiteit'!$E$6,VLOOKUP('2. Kostprijs per beheertype'!A58,'4. Beheertypen complexiteit'!$A$8:$I$59,5,FALSE),IF(C58='4. Beheertypen complexiteit'!$F$6,VLOOKUP('2. Kostprijs per beheertype'!A58,'4. Beheertypen complexiteit'!$A$8:$I$59,6,FALSE),IF(C58='4. Beheertypen complexiteit'!$G$6,VLOOKUP('2. Kostprijs per beheertype'!A58,'4. Beheertypen complexiteit'!$A$8:$I$59,7,FALSE),IF(C58='4. Beheertypen complexiteit'!$H$6,VLOOKUP('2. Kostprijs per beheertype'!A58,'4. Beheertypen complexiteit'!$A$8:$I$59,8,FALSE),IF(C58='4. Beheertypen complexiteit'!$I$6,VLOOKUP('2. Kostprijs per beheertype'!A58,'4. Beheertypen complexiteit'!$A$8:$I$59,9,FALSE),"Nvt")))))))</f>
        <v>Nvt</v>
      </c>
      <c r="E58" s="391" t="str">
        <f>IF(C58='1. Samenvatting'!$H$9,VLOOKUP('2. Kostprijs per beheertype'!D58,'1. Samenvatting'!$G$9:$N$15,2,FALSE),IF(C58='1. Samenvatting'!$I$9,VLOOKUP('2. Kostprijs per beheertype'!D58,'1. Samenvatting'!$G$9:$N$15,3),IF(C58='1. Samenvatting'!$J$9,VLOOKUP('2. Kostprijs per beheertype'!D58,'1. Samenvatting'!$G$9:$N$15,4),IF(C58='1. Samenvatting'!$K$9,VLOOKUP('2. Kostprijs per beheertype'!D58,'1. Samenvatting'!$G$9:$N$15,5),IF(C58='1. Samenvatting'!$L$9,VLOOKUP('2. Kostprijs per beheertype'!D58,'1. Samenvatting'!$G$9:$N$15,6),IF(C58='1. Samenvatting'!$M$9,VLOOKUP('2. Kostprijs per beheertype'!D58,'1. Samenvatting'!$G$9:$N$15,7),IF(C58='1. Samenvatting'!$N$9,VLOOKUP('2. Kostprijs per beheertype'!D58,'1. Samenvatting'!$G$9:$N$15,8),"Nvt")))))))</f>
        <v>Nvt</v>
      </c>
      <c r="F58" s="391" t="str">
        <f>IF(C58='1. Samenvatting'!$H$9,VLOOKUP('2. Kostprijs per beheertype'!D58,'1. Samenvatting'!$G$16:$N$20,2,FALSE),IF(C58='1. Samenvatting'!$I$9,VLOOKUP('2. Kostprijs per beheertype'!D58,'1. Samenvatting'!$G$16:$N$20,3,FALSE),IF(C58='1. Samenvatting'!$J$9,VLOOKUP('2. Kostprijs per beheertype'!D58,'1. Samenvatting'!$G$16:$N$20,4,FALSE),IF(C58='1. Samenvatting'!$K$9,VLOOKUP('2. Kostprijs per beheertype'!D58,'1. Samenvatting'!$G$16:$N$20,5,FALSE),IF(C58='1. Samenvatting'!$L$9,VLOOKUP('2. Kostprijs per beheertype'!D58,'1. Samenvatting'!$G$16:$N$20,6,FALSE),IF(C58='1. Samenvatting'!$M$9,VLOOKUP('2. Kostprijs per beheertype'!D58,'1. Samenvatting'!$G$16:$N$20,7,FALSE),IF(C58='1. Samenvatting'!$N$9,VLOOKUP('2. Kostprijs per beheertype'!D58,'1. Samenvatting'!$G$16:$N$20,8,FALSE),"Nvt")))))))</f>
        <v>Nvt</v>
      </c>
      <c r="G58" s="406">
        <v>6</v>
      </c>
      <c r="H58" s="391">
        <f t="shared" si="0"/>
        <v>0</v>
      </c>
      <c r="I58" s="391">
        <f t="shared" si="1"/>
        <v>0</v>
      </c>
      <c r="J58" s="391"/>
      <c r="K58" s="393"/>
      <c r="L58" s="394"/>
    </row>
    <row r="59" spans="1:12" s="300" customFormat="1" ht="9.9499999999999993" customHeight="1" x14ac:dyDescent="0.15">
      <c r="A59" s="400" t="s">
        <v>63</v>
      </c>
      <c r="B59" s="400" t="s">
        <v>64</v>
      </c>
      <c r="C59" s="389" t="s">
        <v>16</v>
      </c>
      <c r="D59" s="390">
        <f>IF(C59='4. Beheertypen complexiteit'!$C$6,VLOOKUP('2. Kostprijs per beheertype'!A59,'4. Beheertypen complexiteit'!$A$8:$I$59,3,FALSE),IF(C59='4. Beheertypen complexiteit'!$D$6,VLOOKUP('2. Kostprijs per beheertype'!A59,'4. Beheertypen complexiteit'!$A$8:$I$59,4,FALSE),IF(C59='4. Beheertypen complexiteit'!$E$6,VLOOKUP('2. Kostprijs per beheertype'!A59,'4. Beheertypen complexiteit'!$A$8:$I$59,5,FALSE),IF(C59='4. Beheertypen complexiteit'!$F$6,VLOOKUP('2. Kostprijs per beheertype'!A59,'4. Beheertypen complexiteit'!$A$8:$I$59,6,FALSE),IF(C59='4. Beheertypen complexiteit'!$G$6,VLOOKUP('2. Kostprijs per beheertype'!A59,'4. Beheertypen complexiteit'!$A$8:$I$59,7,FALSE),IF(C59='4. Beheertypen complexiteit'!$H$6,VLOOKUP('2. Kostprijs per beheertype'!A59,'4. Beheertypen complexiteit'!$A$8:$I$59,8,FALSE),IF(C59='4. Beheertypen complexiteit'!$I$6,VLOOKUP('2. Kostprijs per beheertype'!A59,'4. Beheertypen complexiteit'!$A$8:$I$59,9,FALSE),"Nvt")))))))</f>
        <v>2</v>
      </c>
      <c r="E59" s="391">
        <f>IF(C59='1. Samenvatting'!$H$9,VLOOKUP('2. Kostprijs per beheertype'!D59,'1. Samenvatting'!$G$9:$N$15,2,FALSE),IF(C59='1. Samenvatting'!$I$9,VLOOKUP('2. Kostprijs per beheertype'!D59,'1. Samenvatting'!$G$9:$N$15,3),IF(C59='1. Samenvatting'!$J$9,VLOOKUP('2. Kostprijs per beheertype'!D59,'1. Samenvatting'!$G$9:$N$15,4),IF(C59='1. Samenvatting'!$K$9,VLOOKUP('2. Kostprijs per beheertype'!D59,'1. Samenvatting'!$G$9:$N$15,5),IF(C59='1. Samenvatting'!$L$9,VLOOKUP('2. Kostprijs per beheertype'!D59,'1. Samenvatting'!$G$9:$N$15,6),IF(C59='1. Samenvatting'!$M$9,VLOOKUP('2. Kostprijs per beheertype'!D59,'1. Samenvatting'!$G$9:$N$15,7),IF(C59='1. Samenvatting'!$N$9,VLOOKUP('2. Kostprijs per beheertype'!D59,'1. Samenvatting'!$G$9:$N$15,8),"Nvt")))))))</f>
        <v>124.16799313804943</v>
      </c>
      <c r="F59" s="391">
        <f>IF(C59='1. Samenvatting'!$H$9,VLOOKUP('2. Kostprijs per beheertype'!D59,'1. Samenvatting'!$G$16:$N$20,2,FALSE),IF(C59='1. Samenvatting'!$I$9,VLOOKUP('2. Kostprijs per beheertype'!D59,'1. Samenvatting'!$G$16:$N$20,3,FALSE),IF(C59='1. Samenvatting'!$J$9,VLOOKUP('2. Kostprijs per beheertype'!D59,'1. Samenvatting'!$G$16:$N$20,4,FALSE),IF(C59='1. Samenvatting'!$K$9,VLOOKUP('2. Kostprijs per beheertype'!D59,'1. Samenvatting'!$G$16:$N$20,5,FALSE),IF(C59='1. Samenvatting'!$L$9,VLOOKUP('2. Kostprijs per beheertype'!D59,'1. Samenvatting'!$G$16:$N$20,6,FALSE),IF(C59='1. Samenvatting'!$M$9,VLOOKUP('2. Kostprijs per beheertype'!D59,'1. Samenvatting'!$G$16:$N$20,7,FALSE),IF(C59='1. Samenvatting'!$N$9,VLOOKUP('2. Kostprijs per beheertype'!D59,'1. Samenvatting'!$G$16:$N$20,8,FALSE),"Nvt")))))))</f>
        <v>124.16799313804943</v>
      </c>
      <c r="G59" s="406">
        <v>12</v>
      </c>
      <c r="H59" s="391">
        <f t="shared" si="0"/>
        <v>10.347332761504118</v>
      </c>
      <c r="I59" s="391">
        <f t="shared" si="1"/>
        <v>10.347332761504118</v>
      </c>
      <c r="J59" s="391"/>
      <c r="K59" s="393"/>
      <c r="L59" s="394"/>
    </row>
    <row r="60" spans="1:12" s="300" customFormat="1" ht="9.9499999999999993" customHeight="1" x14ac:dyDescent="0.15">
      <c r="A60" s="398" t="s">
        <v>65</v>
      </c>
      <c r="B60" s="407" t="s">
        <v>66</v>
      </c>
      <c r="C60" s="408" t="s">
        <v>19</v>
      </c>
      <c r="D60" s="409">
        <f>IF(C60='4. Beheertypen complexiteit'!$C$6,VLOOKUP('2. Kostprijs per beheertype'!A60,'4. Beheertypen complexiteit'!$A$8:$I$59,3,FALSE),IF(C60='4. Beheertypen complexiteit'!$D$6,VLOOKUP('2. Kostprijs per beheertype'!A60,'4. Beheertypen complexiteit'!$A$8:$I$59,4,FALSE),IF(C60='4. Beheertypen complexiteit'!$E$6,VLOOKUP('2. Kostprijs per beheertype'!A60,'4. Beheertypen complexiteit'!$A$8:$I$59,5,FALSE),IF(C60='4. Beheertypen complexiteit'!$F$6,VLOOKUP('2. Kostprijs per beheertype'!A60,'4. Beheertypen complexiteit'!$A$8:$I$59,6,FALSE),IF(C60='4. Beheertypen complexiteit'!$G$6,VLOOKUP('2. Kostprijs per beheertype'!A60,'4. Beheertypen complexiteit'!$A$8:$I$59,7,FALSE),IF(C60='4. Beheertypen complexiteit'!$H$6,VLOOKUP('2. Kostprijs per beheertype'!A60,'4. Beheertypen complexiteit'!$A$8:$I$59,8,FALSE),IF(C60='4. Beheertypen complexiteit'!$I$6,VLOOKUP('2. Kostprijs per beheertype'!A60,'4. Beheertypen complexiteit'!$A$8:$I$59,9,FALSE),"Nvt")))))))</f>
        <v>1</v>
      </c>
      <c r="E60" s="410">
        <f>IF(C60='1. Samenvatting'!$H$9,VLOOKUP('2. Kostprijs per beheertype'!D60,'1. Samenvatting'!$G$9:$N$15,2,FALSE),IF(C60='1. Samenvatting'!$I$9,VLOOKUP('2. Kostprijs per beheertype'!D60,'1. Samenvatting'!$G$9:$N$15,3),IF(C60='1. Samenvatting'!$J$9,VLOOKUP('2. Kostprijs per beheertype'!D60,'1. Samenvatting'!$G$9:$N$15,4),IF(C60='1. Samenvatting'!$K$9,VLOOKUP('2. Kostprijs per beheertype'!D60,'1. Samenvatting'!$G$9:$N$15,5),IF(C60='1. Samenvatting'!$L$9,VLOOKUP('2. Kostprijs per beheertype'!D60,'1. Samenvatting'!$G$9:$N$15,6),IF(C60='1. Samenvatting'!$M$9,VLOOKUP('2. Kostprijs per beheertype'!D60,'1. Samenvatting'!$G$9:$N$15,7),IF(C60='1. Samenvatting'!$N$9,VLOOKUP('2. Kostprijs per beheertype'!D60,'1. Samenvatting'!$G$9:$N$15,8),"Nvt")))))))</f>
        <v>92.159399805164711</v>
      </c>
      <c r="F60" s="410">
        <f>IF(C60='1. Samenvatting'!$H$9,VLOOKUP('2. Kostprijs per beheertype'!D60,'1. Samenvatting'!$G$16:$N$20,2,FALSE),IF(C60='1. Samenvatting'!$I$9,VLOOKUP('2. Kostprijs per beheertype'!D60,'1. Samenvatting'!$G$16:$N$20,3,FALSE),IF(C60='1. Samenvatting'!$J$9,VLOOKUP('2. Kostprijs per beheertype'!D60,'1. Samenvatting'!$G$16:$N$20,4,FALSE),IF(C60='1. Samenvatting'!$K$9,VLOOKUP('2. Kostprijs per beheertype'!D60,'1. Samenvatting'!$G$16:$N$20,5,FALSE),IF(C60='1. Samenvatting'!$L$9,VLOOKUP('2. Kostprijs per beheertype'!D60,'1. Samenvatting'!$G$16:$N$20,6,FALSE),IF(C60='1. Samenvatting'!$M$9,VLOOKUP('2. Kostprijs per beheertype'!D60,'1. Samenvatting'!$G$16:$N$20,7,FALSE),IF(C60='1. Samenvatting'!$N$9,VLOOKUP('2. Kostprijs per beheertype'!D60,'1. Samenvatting'!$G$16:$N$20,8,FALSE),"Nvt")))))))</f>
        <v>112.82583216627582</v>
      </c>
      <c r="G60" s="411">
        <v>6</v>
      </c>
      <c r="H60" s="410">
        <f t="shared" si="0"/>
        <v>15.359899967527452</v>
      </c>
      <c r="I60" s="410">
        <f t="shared" si="1"/>
        <v>18.804305361045969</v>
      </c>
      <c r="J60" s="410">
        <f>'3. Parameters kostprijsmodel'!$F$36</f>
        <v>3.0089563425755728</v>
      </c>
      <c r="K60" s="361">
        <f>SUM(H60:H63)+$J$60</f>
        <v>37.204224007886971</v>
      </c>
      <c r="L60" s="362">
        <f>SUM(I60:I63)+$J$60</f>
        <v>40.973577378403981</v>
      </c>
    </row>
    <row r="61" spans="1:12" s="300" customFormat="1" ht="9.9499999999999993" customHeight="1" x14ac:dyDescent="0.15">
      <c r="A61" s="400" t="s">
        <v>65</v>
      </c>
      <c r="B61" s="412" t="s">
        <v>66</v>
      </c>
      <c r="C61" s="389" t="s">
        <v>21</v>
      </c>
      <c r="D61" s="390">
        <f>IF(C61='4. Beheertypen complexiteit'!$C$6,VLOOKUP('2. Kostprijs per beheertype'!A61,'4. Beheertypen complexiteit'!$A$8:$I$59,3,FALSE),IF(C61='4. Beheertypen complexiteit'!$D$6,VLOOKUP('2. Kostprijs per beheertype'!A61,'4. Beheertypen complexiteit'!$A$8:$I$59,4,FALSE),IF(C61='4. Beheertypen complexiteit'!$E$6,VLOOKUP('2. Kostprijs per beheertype'!A61,'4. Beheertypen complexiteit'!$A$8:$I$59,5,FALSE),IF(C61='4. Beheertypen complexiteit'!$F$6,VLOOKUP('2. Kostprijs per beheertype'!A61,'4. Beheertypen complexiteit'!$A$8:$I$59,6,FALSE),IF(C61='4. Beheertypen complexiteit'!$G$6,VLOOKUP('2. Kostprijs per beheertype'!A61,'4. Beheertypen complexiteit'!$A$8:$I$59,7,FALSE),IF(C61='4. Beheertypen complexiteit'!$H$6,VLOOKUP('2. Kostprijs per beheertype'!A61,'4. Beheertypen complexiteit'!$A$8:$I$59,8,FALSE),IF(C61='4. Beheertypen complexiteit'!$I$6,VLOOKUP('2. Kostprijs per beheertype'!A61,'4. Beheertypen complexiteit'!$A$8:$I$59,9,FALSE),"Nvt")))))))</f>
        <v>1</v>
      </c>
      <c r="E61" s="391">
        <f>IF(C61='1. Samenvatting'!$H$9,VLOOKUP('2. Kostprijs per beheertype'!D61,'1. Samenvatting'!$G$9:$N$15,2,FALSE),IF(C61='1. Samenvatting'!$I$9,VLOOKUP('2. Kostprijs per beheertype'!D61,'1. Samenvatting'!$G$9:$N$15,3),IF(C61='1. Samenvatting'!$J$9,VLOOKUP('2. Kostprijs per beheertype'!D61,'1. Samenvatting'!$G$9:$N$15,4),IF(C61='1. Samenvatting'!$K$9,VLOOKUP('2. Kostprijs per beheertype'!D61,'1. Samenvatting'!$G$9:$N$15,5),IF(C61='1. Samenvatting'!$L$9,VLOOKUP('2. Kostprijs per beheertype'!D61,'1. Samenvatting'!$G$9:$N$15,6),IF(C61='1. Samenvatting'!$M$9,VLOOKUP('2. Kostprijs per beheertype'!D61,'1. Samenvatting'!$G$9:$N$15,7),IF(C61='1. Samenvatting'!$N$9,VLOOKUP('2. Kostprijs per beheertype'!D61,'1. Samenvatting'!$G$9:$N$15,8),"Nvt")))))))</f>
        <v>50.928209617678966</v>
      </c>
      <c r="F61" s="391">
        <f>IF(C61='1. Samenvatting'!$H$9,VLOOKUP('2. Kostprijs per beheertype'!D61,'1. Samenvatting'!$G$16:$N$20,2,FALSE),IF(C61='1. Samenvatting'!$I$9,VLOOKUP('2. Kostprijs per beheertype'!D61,'1. Samenvatting'!$G$16:$N$20,3,FALSE),IF(C61='1. Samenvatting'!$J$9,VLOOKUP('2. Kostprijs per beheertype'!D61,'1. Samenvatting'!$G$16:$N$20,4,FALSE),IF(C61='1. Samenvatting'!$K$9,VLOOKUP('2. Kostprijs per beheertype'!D61,'1. Samenvatting'!$G$16:$N$20,5,FALSE),IF(C61='1. Samenvatting'!$L$9,VLOOKUP('2. Kostprijs per beheertype'!D61,'1. Samenvatting'!$G$16:$N$20,6,FALSE),IF(C61='1. Samenvatting'!$M$9,VLOOKUP('2. Kostprijs per beheertype'!D61,'1. Samenvatting'!$G$16:$N$20,7,FALSE),IF(C61='1. Samenvatting'!$N$9,VLOOKUP('2. Kostprijs per beheertype'!D61,'1. Samenvatting'!$G$16:$N$20,8,FALSE),"Nvt")))))))</f>
        <v>52.877897479669919</v>
      </c>
      <c r="G61" s="406">
        <v>6</v>
      </c>
      <c r="H61" s="391">
        <f t="shared" si="0"/>
        <v>8.4880349362798277</v>
      </c>
      <c r="I61" s="391">
        <f t="shared" si="1"/>
        <v>8.8129829132783204</v>
      </c>
      <c r="J61" s="391"/>
      <c r="K61" s="393"/>
      <c r="L61" s="394"/>
    </row>
    <row r="62" spans="1:12" s="300" customFormat="1" ht="9.9499999999999993" customHeight="1" x14ac:dyDescent="0.15">
      <c r="A62" s="400" t="s">
        <v>65</v>
      </c>
      <c r="B62" s="412" t="s">
        <v>66</v>
      </c>
      <c r="C62" s="389" t="s">
        <v>155</v>
      </c>
      <c r="D62" s="390" t="str">
        <f>IF(C62='4. Beheertypen complexiteit'!$C$6,VLOOKUP('2. Kostprijs per beheertype'!A62,'4. Beheertypen complexiteit'!$A$8:$I$59,3,FALSE),IF(C62='4. Beheertypen complexiteit'!$D$6,VLOOKUP('2. Kostprijs per beheertype'!A62,'4. Beheertypen complexiteit'!$A$8:$I$59,4,FALSE),IF(C62='4. Beheertypen complexiteit'!$E$6,VLOOKUP('2. Kostprijs per beheertype'!A62,'4. Beheertypen complexiteit'!$A$8:$I$59,5,FALSE),IF(C62='4. Beheertypen complexiteit'!$F$6,VLOOKUP('2. Kostprijs per beheertype'!A62,'4. Beheertypen complexiteit'!$A$8:$I$59,6,FALSE),IF(C62='4. Beheertypen complexiteit'!$G$6,VLOOKUP('2. Kostprijs per beheertype'!A62,'4. Beheertypen complexiteit'!$A$8:$I$59,7,FALSE),IF(C62='4. Beheertypen complexiteit'!$H$6,VLOOKUP('2. Kostprijs per beheertype'!A62,'4. Beheertypen complexiteit'!$A$8:$I$59,8,FALSE),IF(C62='4. Beheertypen complexiteit'!$I$6,VLOOKUP('2. Kostprijs per beheertype'!A62,'4. Beheertypen complexiteit'!$A$8:$I$59,9,FALSE),"Nvt")))))))</f>
        <v>Nvt</v>
      </c>
      <c r="E62" s="391" t="str">
        <f>IF(C62='1. Samenvatting'!$H$9,VLOOKUP('2. Kostprijs per beheertype'!D62,'1. Samenvatting'!$G$9:$N$15,2,FALSE),IF(C62='1. Samenvatting'!$I$9,VLOOKUP('2. Kostprijs per beheertype'!D62,'1. Samenvatting'!$G$9:$N$15,3),IF(C62='1. Samenvatting'!$J$9,VLOOKUP('2. Kostprijs per beheertype'!D62,'1. Samenvatting'!$G$9:$N$15,4),IF(C62='1. Samenvatting'!$K$9,VLOOKUP('2. Kostprijs per beheertype'!D62,'1. Samenvatting'!$G$9:$N$15,5),IF(C62='1. Samenvatting'!$L$9,VLOOKUP('2. Kostprijs per beheertype'!D62,'1. Samenvatting'!$G$9:$N$15,6),IF(C62='1. Samenvatting'!$M$9,VLOOKUP('2. Kostprijs per beheertype'!D62,'1. Samenvatting'!$G$9:$N$15,7),IF(C62='1. Samenvatting'!$N$9,VLOOKUP('2. Kostprijs per beheertype'!D62,'1. Samenvatting'!$G$9:$N$15,8),"Nvt")))))))</f>
        <v>Nvt</v>
      </c>
      <c r="F62" s="391" t="str">
        <f>IF(C62='1. Samenvatting'!$H$9,VLOOKUP('2. Kostprijs per beheertype'!D62,'1. Samenvatting'!$G$16:$N$20,2,FALSE),IF(C62='1. Samenvatting'!$I$9,VLOOKUP('2. Kostprijs per beheertype'!D62,'1. Samenvatting'!$G$16:$N$20,3,FALSE),IF(C62='1. Samenvatting'!$J$9,VLOOKUP('2. Kostprijs per beheertype'!D62,'1. Samenvatting'!$G$16:$N$20,4,FALSE),IF(C62='1. Samenvatting'!$K$9,VLOOKUP('2. Kostprijs per beheertype'!D62,'1. Samenvatting'!$G$16:$N$20,5,FALSE),IF(C62='1. Samenvatting'!$L$9,VLOOKUP('2. Kostprijs per beheertype'!D62,'1. Samenvatting'!$G$16:$N$20,6,FALSE),IF(C62='1. Samenvatting'!$M$9,VLOOKUP('2. Kostprijs per beheertype'!D62,'1. Samenvatting'!$G$16:$N$20,7,FALSE),IF(C62='1. Samenvatting'!$N$9,VLOOKUP('2. Kostprijs per beheertype'!D62,'1. Samenvatting'!$G$16:$N$20,8,FALSE),"Nvt")))))))</f>
        <v>Nvt</v>
      </c>
      <c r="G62" s="406">
        <v>6</v>
      </c>
      <c r="H62" s="391">
        <f t="shared" si="0"/>
        <v>0</v>
      </c>
      <c r="I62" s="391">
        <f t="shared" si="1"/>
        <v>0</v>
      </c>
      <c r="J62" s="391"/>
      <c r="K62" s="393"/>
      <c r="L62" s="394"/>
    </row>
    <row r="63" spans="1:12" s="300" customFormat="1" ht="9.9499999999999993" customHeight="1" x14ac:dyDescent="0.15">
      <c r="A63" s="401" t="s">
        <v>65</v>
      </c>
      <c r="B63" s="413" t="s">
        <v>66</v>
      </c>
      <c r="C63" s="402" t="s">
        <v>16</v>
      </c>
      <c r="D63" s="403">
        <f>IF(C63='4. Beheertypen complexiteit'!$C$6,VLOOKUP('2. Kostprijs per beheertype'!A63,'4. Beheertypen complexiteit'!$A$8:$I$59,3,FALSE),IF(C63='4. Beheertypen complexiteit'!$D$6,VLOOKUP('2. Kostprijs per beheertype'!A63,'4. Beheertypen complexiteit'!$A$8:$I$59,4,FALSE),IF(C63='4. Beheertypen complexiteit'!$E$6,VLOOKUP('2. Kostprijs per beheertype'!A63,'4. Beheertypen complexiteit'!$A$8:$I$59,5,FALSE),IF(C63='4. Beheertypen complexiteit'!$F$6,VLOOKUP('2. Kostprijs per beheertype'!A63,'4. Beheertypen complexiteit'!$A$8:$I$59,6,FALSE),IF(C63='4. Beheertypen complexiteit'!$G$6,VLOOKUP('2. Kostprijs per beheertype'!A63,'4. Beheertypen complexiteit'!$A$8:$I$59,7,FALSE),IF(C63='4. Beheertypen complexiteit'!$H$6,VLOOKUP('2. Kostprijs per beheertype'!A63,'4. Beheertypen complexiteit'!$A$8:$I$59,8,FALSE),IF(C63='4. Beheertypen complexiteit'!$I$6,VLOOKUP('2. Kostprijs per beheertype'!A63,'4. Beheertypen complexiteit'!$A$8:$I$59,9,FALSE),"Nvt")))))))</f>
        <v>2</v>
      </c>
      <c r="E63" s="404">
        <f>IF(C63='1. Samenvatting'!$H$9,VLOOKUP('2. Kostprijs per beheertype'!D63,'1. Samenvatting'!$G$9:$N$15,2,FALSE),IF(C63='1. Samenvatting'!$I$9,VLOOKUP('2. Kostprijs per beheertype'!D63,'1. Samenvatting'!$G$9:$N$15,3),IF(C63='1. Samenvatting'!$J$9,VLOOKUP('2. Kostprijs per beheertype'!D63,'1. Samenvatting'!$G$9:$N$15,4),IF(C63='1. Samenvatting'!$K$9,VLOOKUP('2. Kostprijs per beheertype'!D63,'1. Samenvatting'!$G$9:$N$15,5),IF(C63='1. Samenvatting'!$L$9,VLOOKUP('2. Kostprijs per beheertype'!D63,'1. Samenvatting'!$G$9:$N$15,6),IF(C63='1. Samenvatting'!$M$9,VLOOKUP('2. Kostprijs per beheertype'!D63,'1. Samenvatting'!$G$9:$N$15,7),IF(C63='1. Samenvatting'!$N$9,VLOOKUP('2. Kostprijs per beheertype'!D63,'1. Samenvatting'!$G$9:$N$15,8),"Nvt")))))))</f>
        <v>124.16799313804943</v>
      </c>
      <c r="F63" s="404">
        <f>IF(C63='1. Samenvatting'!$H$9,VLOOKUP('2. Kostprijs per beheertype'!D63,'1. Samenvatting'!$G$16:$N$20,2,FALSE),IF(C63='1. Samenvatting'!$I$9,VLOOKUP('2. Kostprijs per beheertype'!D63,'1. Samenvatting'!$G$16:$N$20,3,FALSE),IF(C63='1. Samenvatting'!$J$9,VLOOKUP('2. Kostprijs per beheertype'!D63,'1. Samenvatting'!$G$16:$N$20,4,FALSE),IF(C63='1. Samenvatting'!$K$9,VLOOKUP('2. Kostprijs per beheertype'!D63,'1. Samenvatting'!$G$16:$N$20,5,FALSE),IF(C63='1. Samenvatting'!$L$9,VLOOKUP('2. Kostprijs per beheertype'!D63,'1. Samenvatting'!$G$16:$N$20,6,FALSE),IF(C63='1. Samenvatting'!$M$9,VLOOKUP('2. Kostprijs per beheertype'!D63,'1. Samenvatting'!$G$16:$N$20,7,FALSE),IF(C63='1. Samenvatting'!$N$9,VLOOKUP('2. Kostprijs per beheertype'!D63,'1. Samenvatting'!$G$16:$N$20,8,FALSE),"Nvt")))))))</f>
        <v>124.16799313804943</v>
      </c>
      <c r="G63" s="405">
        <v>12</v>
      </c>
      <c r="H63" s="404">
        <f t="shared" si="0"/>
        <v>10.347332761504118</v>
      </c>
      <c r="I63" s="404">
        <f t="shared" si="1"/>
        <v>10.347332761504118</v>
      </c>
      <c r="J63" s="404"/>
      <c r="K63" s="396"/>
      <c r="L63" s="397"/>
    </row>
    <row r="64" spans="1:12" s="300" customFormat="1" ht="9.9499999999999993" customHeight="1" x14ac:dyDescent="0.15">
      <c r="A64" s="398" t="s">
        <v>68</v>
      </c>
      <c r="B64" s="398" t="s">
        <v>69</v>
      </c>
      <c r="C64" s="365" t="s">
        <v>19</v>
      </c>
      <c r="D64" s="366">
        <f>IF(C64='4. Beheertypen complexiteit'!$C$6,VLOOKUP('2. Kostprijs per beheertype'!A64,'4. Beheertypen complexiteit'!$A$8:$I$59,3,FALSE),IF(C64='4. Beheertypen complexiteit'!$D$6,VLOOKUP('2. Kostprijs per beheertype'!A64,'4. Beheertypen complexiteit'!$A$8:$I$59,4,FALSE),IF(C64='4. Beheertypen complexiteit'!$E$6,VLOOKUP('2. Kostprijs per beheertype'!A64,'4. Beheertypen complexiteit'!$A$8:$I$59,5,FALSE),IF(C64='4. Beheertypen complexiteit'!$F$6,VLOOKUP('2. Kostprijs per beheertype'!A64,'4. Beheertypen complexiteit'!$A$8:$I$59,6,FALSE),IF(C64='4. Beheertypen complexiteit'!$G$6,VLOOKUP('2. Kostprijs per beheertype'!A64,'4. Beheertypen complexiteit'!$A$8:$I$59,7,FALSE),IF(C64='4. Beheertypen complexiteit'!$H$6,VLOOKUP('2. Kostprijs per beheertype'!A64,'4. Beheertypen complexiteit'!$A$8:$I$59,8,FALSE),IF(C64='4. Beheertypen complexiteit'!$I$6,VLOOKUP('2. Kostprijs per beheertype'!A64,'4. Beheertypen complexiteit'!$A$8:$I$59,9,FALSE),"Nvt")))))))</f>
        <v>1</v>
      </c>
      <c r="E64" s="367">
        <f>IF(C64='1. Samenvatting'!$H$9,VLOOKUP('2. Kostprijs per beheertype'!D64,'1. Samenvatting'!$G$9:$N$15,2,FALSE),IF(C64='1. Samenvatting'!$I$9,VLOOKUP('2. Kostprijs per beheertype'!D64,'1. Samenvatting'!$G$9:$N$15,3),IF(C64='1. Samenvatting'!$J$9,VLOOKUP('2. Kostprijs per beheertype'!D64,'1. Samenvatting'!$G$9:$N$15,4),IF(C64='1. Samenvatting'!$K$9,VLOOKUP('2. Kostprijs per beheertype'!D64,'1. Samenvatting'!$G$9:$N$15,5),IF(C64='1. Samenvatting'!$L$9,VLOOKUP('2. Kostprijs per beheertype'!D64,'1. Samenvatting'!$G$9:$N$15,6),IF(C64='1. Samenvatting'!$M$9,VLOOKUP('2. Kostprijs per beheertype'!D64,'1. Samenvatting'!$G$9:$N$15,7),IF(C64='1. Samenvatting'!$N$9,VLOOKUP('2. Kostprijs per beheertype'!D64,'1. Samenvatting'!$G$9:$N$15,8),"Nvt")))))))</f>
        <v>92.159399805164711</v>
      </c>
      <c r="F64" s="367">
        <f>IF(C64='1. Samenvatting'!$H$9,VLOOKUP('2. Kostprijs per beheertype'!D64,'1. Samenvatting'!$G$16:$N$20,2,FALSE),IF(C64='1. Samenvatting'!$I$9,VLOOKUP('2. Kostprijs per beheertype'!D64,'1. Samenvatting'!$G$16:$N$20,3,FALSE),IF(C64='1. Samenvatting'!$J$9,VLOOKUP('2. Kostprijs per beheertype'!D64,'1. Samenvatting'!$G$16:$N$20,4,FALSE),IF(C64='1. Samenvatting'!$K$9,VLOOKUP('2. Kostprijs per beheertype'!D64,'1. Samenvatting'!$G$16:$N$20,5,FALSE),IF(C64='1. Samenvatting'!$L$9,VLOOKUP('2. Kostprijs per beheertype'!D64,'1. Samenvatting'!$G$16:$N$20,6,FALSE),IF(C64='1. Samenvatting'!$M$9,VLOOKUP('2. Kostprijs per beheertype'!D64,'1. Samenvatting'!$G$16:$N$20,7,FALSE),IF(C64='1. Samenvatting'!$N$9,VLOOKUP('2. Kostprijs per beheertype'!D64,'1. Samenvatting'!$G$16:$N$20,8,FALSE),"Nvt")))))))</f>
        <v>112.82583216627582</v>
      </c>
      <c r="G64" s="368">
        <v>6</v>
      </c>
      <c r="H64" s="367">
        <f t="shared" si="0"/>
        <v>15.359899967527452</v>
      </c>
      <c r="I64" s="367">
        <f t="shared" si="1"/>
        <v>18.804305361045969</v>
      </c>
      <c r="J64" s="367">
        <f>'3. Parameters kostprijsmodel'!$F$36</f>
        <v>3.0089563425755728</v>
      </c>
      <c r="K64" s="361">
        <f>SUM(H64:H66)+$J$64</f>
        <v>46.404488856961436</v>
      </c>
      <c r="L64" s="362">
        <f>SUM(I64:I66)+$J$64</f>
        <v>53.386401194924403</v>
      </c>
    </row>
    <row r="65" spans="1:12" s="300" customFormat="1" ht="9.9499999999999993" customHeight="1" x14ac:dyDescent="0.15">
      <c r="A65" s="400" t="s">
        <v>68</v>
      </c>
      <c r="B65" s="400" t="s">
        <v>69</v>
      </c>
      <c r="C65" s="414" t="s">
        <v>36</v>
      </c>
      <c r="D65" s="415">
        <f>IF(C65='4. Beheertypen complexiteit'!$C$6,VLOOKUP('2. Kostprijs per beheertype'!A65,'4. Beheertypen complexiteit'!$A$8:$I$59,3,FALSE),IF(C65='4. Beheertypen complexiteit'!$D$6,VLOOKUP('2. Kostprijs per beheertype'!A65,'4. Beheertypen complexiteit'!$A$8:$I$59,4,FALSE),IF(C65='4. Beheertypen complexiteit'!$E$6,VLOOKUP('2. Kostprijs per beheertype'!A65,'4. Beheertypen complexiteit'!$A$8:$I$59,5,FALSE),IF(C65='4. Beheertypen complexiteit'!$F$6,VLOOKUP('2. Kostprijs per beheertype'!A65,'4. Beheertypen complexiteit'!$A$8:$I$59,6,FALSE),IF(C65='4. Beheertypen complexiteit'!$G$6,VLOOKUP('2. Kostprijs per beheertype'!A65,'4. Beheertypen complexiteit'!$A$8:$I$59,7,FALSE),IF(C65='4. Beheertypen complexiteit'!$H$6,VLOOKUP('2. Kostprijs per beheertype'!A65,'4. Beheertypen complexiteit'!$A$8:$I$59,8,FALSE),IF(C65='4. Beheertypen complexiteit'!$I$6,VLOOKUP('2. Kostprijs per beheertype'!A65,'4. Beheertypen complexiteit'!$A$8:$I$59,9,FALSE),"Nvt")))))))</f>
        <v>1</v>
      </c>
      <c r="E65" s="416">
        <f>IF(C65='1. Samenvatting'!$H$9,VLOOKUP('2. Kostprijs per beheertype'!D65,'1. Samenvatting'!$G$9:$N$15,2,FALSE),IF(C65='1. Samenvatting'!$I$9,VLOOKUP('2. Kostprijs per beheertype'!D65,'1. Samenvatting'!$G$9:$N$15,3),IF(C65='1. Samenvatting'!$J$9,VLOOKUP('2. Kostprijs per beheertype'!D65,'1. Samenvatting'!$G$9:$N$15,4),IF(C65='1. Samenvatting'!$K$9,VLOOKUP('2. Kostprijs per beheertype'!D65,'1. Samenvatting'!$G$9:$N$15,5),IF(C65='1. Samenvatting'!$L$9,VLOOKUP('2. Kostprijs per beheertype'!D65,'1. Samenvatting'!$G$9:$N$15,6),IF(C65='1. Samenvatting'!$M$9,VLOOKUP('2. Kostprijs per beheertype'!D65,'1. Samenvatting'!$G$9:$N$15,7),IF(C65='1. Samenvatting'!$N$9,VLOOKUP('2. Kostprijs per beheertype'!D65,'1. Samenvatting'!$G$9:$N$15,8),"Nvt")))))))</f>
        <v>44.576062885390066</v>
      </c>
      <c r="F65" s="416">
        <f>IF(C65='1. Samenvatting'!$H$9,VLOOKUP('2. Kostprijs per beheertype'!D65,'1. Samenvatting'!$G$16:$N$20,2,FALSE),IF(C65='1. Samenvatting'!$I$9,VLOOKUP('2. Kostprijs per beheertype'!D65,'1. Samenvatting'!$G$16:$N$20,3,FALSE),IF(C65='1. Samenvatting'!$J$9,VLOOKUP('2. Kostprijs per beheertype'!D65,'1. Samenvatting'!$G$16:$N$20,4,FALSE),IF(C65='1. Samenvatting'!$K$9,VLOOKUP('2. Kostprijs per beheertype'!D65,'1. Samenvatting'!$G$16:$N$20,5,FALSE),IF(C65='1. Samenvatting'!$L$9,VLOOKUP('2. Kostprijs per beheertype'!D65,'1. Samenvatting'!$G$16:$N$20,6,FALSE),IF(C65='1. Samenvatting'!$M$9,VLOOKUP('2. Kostprijs per beheertype'!D65,'1. Samenvatting'!$G$16:$N$20,7,FALSE),IF(C65='1. Samenvatting'!$N$9,VLOOKUP('2. Kostprijs per beheertype'!D65,'1. Samenvatting'!$G$16:$N$20,8,FALSE),"Nvt")))))))</f>
        <v>65.801104552056728</v>
      </c>
      <c r="G65" s="417">
        <v>6</v>
      </c>
      <c r="H65" s="416">
        <f t="shared" si="0"/>
        <v>7.4293438142316779</v>
      </c>
      <c r="I65" s="416">
        <f t="shared" si="1"/>
        <v>10.966850758676122</v>
      </c>
      <c r="J65" s="416"/>
      <c r="K65" s="393"/>
      <c r="L65" s="394"/>
    </row>
    <row r="66" spans="1:12" s="300" customFormat="1" ht="9.9499999999999993" customHeight="1" x14ac:dyDescent="0.15">
      <c r="A66" s="401" t="s">
        <v>68</v>
      </c>
      <c r="B66" s="401" t="s">
        <v>69</v>
      </c>
      <c r="C66" s="379" t="s">
        <v>16</v>
      </c>
      <c r="D66" s="380">
        <f>IF(C66='4. Beheertypen complexiteit'!$C$6,VLOOKUP('2. Kostprijs per beheertype'!A66,'4. Beheertypen complexiteit'!$A$8:$I$59,3,FALSE),IF(C66='4. Beheertypen complexiteit'!$D$6,VLOOKUP('2. Kostprijs per beheertype'!A66,'4. Beheertypen complexiteit'!$A$8:$I$59,4,FALSE),IF(C66='4. Beheertypen complexiteit'!$E$6,VLOOKUP('2. Kostprijs per beheertype'!A66,'4. Beheertypen complexiteit'!$A$8:$I$59,5,FALSE),IF(C66='4. Beheertypen complexiteit'!$F$6,VLOOKUP('2. Kostprijs per beheertype'!A66,'4. Beheertypen complexiteit'!$A$8:$I$59,6,FALSE),IF(C66='4. Beheertypen complexiteit'!$G$6,VLOOKUP('2. Kostprijs per beheertype'!A66,'4. Beheertypen complexiteit'!$A$8:$I$59,7,FALSE),IF(C66='4. Beheertypen complexiteit'!$H$6,VLOOKUP('2. Kostprijs per beheertype'!A66,'4. Beheertypen complexiteit'!$A$8:$I$59,8,FALSE),IF(C66='4. Beheertypen complexiteit'!$I$6,VLOOKUP('2. Kostprijs per beheertype'!A66,'4. Beheertypen complexiteit'!$A$8:$I$59,9,FALSE),"Nvt")))))))</f>
        <v>1</v>
      </c>
      <c r="E66" s="381">
        <f>IF(C66='1. Samenvatting'!$H$9,VLOOKUP('2. Kostprijs per beheertype'!D66,'1. Samenvatting'!$G$9:$N$15,2,FALSE),IF(C66='1. Samenvatting'!$I$9,VLOOKUP('2. Kostprijs per beheertype'!D66,'1. Samenvatting'!$G$9:$N$15,3),IF(C66='1. Samenvatting'!$J$9,VLOOKUP('2. Kostprijs per beheertype'!D66,'1. Samenvatting'!$G$9:$N$15,4),IF(C66='1. Samenvatting'!$K$9,VLOOKUP('2. Kostprijs per beheertype'!D66,'1. Samenvatting'!$G$9:$N$15,5),IF(C66='1. Samenvatting'!$L$9,VLOOKUP('2. Kostprijs per beheertype'!D66,'1. Samenvatting'!$G$9:$N$15,6),IF(C66='1. Samenvatting'!$M$9,VLOOKUP('2. Kostprijs per beheertype'!D66,'1. Samenvatting'!$G$9:$N$15,7),IF(C66='1. Samenvatting'!$N$9,VLOOKUP('2. Kostprijs per beheertype'!D66,'1. Samenvatting'!$G$9:$N$15,8),"Nvt")))))))</f>
        <v>247.27546479152085</v>
      </c>
      <c r="F66" s="381">
        <f>IF(C66='1. Samenvatting'!$H$9,VLOOKUP('2. Kostprijs per beheertype'!D66,'1. Samenvatting'!$G$16:$N$20,2,FALSE),IF(C66='1. Samenvatting'!$I$9,VLOOKUP('2. Kostprijs per beheertype'!D66,'1. Samenvatting'!$G$16:$N$20,3,FALSE),IF(C66='1. Samenvatting'!$J$9,VLOOKUP('2. Kostprijs per beheertype'!D66,'1. Samenvatting'!$G$16:$N$20,4,FALSE),IF(C66='1. Samenvatting'!$K$9,VLOOKUP('2. Kostprijs per beheertype'!D66,'1. Samenvatting'!$G$16:$N$20,5,FALSE),IF(C66='1. Samenvatting'!$L$9,VLOOKUP('2. Kostprijs per beheertype'!D66,'1. Samenvatting'!$G$16:$N$20,6,FALSE),IF(C66='1. Samenvatting'!$M$9,VLOOKUP('2. Kostprijs per beheertype'!D66,'1. Samenvatting'!$G$16:$N$20,7,FALSE),IF(C66='1. Samenvatting'!$N$9,VLOOKUP('2. Kostprijs per beheertype'!D66,'1. Samenvatting'!$G$16:$N$20,8,FALSE),"Nvt")))))))</f>
        <v>247.27546479152085</v>
      </c>
      <c r="G66" s="382">
        <v>12</v>
      </c>
      <c r="H66" s="381">
        <f t="shared" si="0"/>
        <v>20.606288732626737</v>
      </c>
      <c r="I66" s="381">
        <f t="shared" si="1"/>
        <v>20.606288732626737</v>
      </c>
      <c r="J66" s="381"/>
      <c r="K66" s="396"/>
      <c r="L66" s="397"/>
    </row>
    <row r="67" spans="1:12" s="300" customFormat="1" ht="9.9499999999999993" customHeight="1" x14ac:dyDescent="0.15">
      <c r="A67" s="398" t="s">
        <v>74</v>
      </c>
      <c r="B67" s="398" t="s">
        <v>75</v>
      </c>
      <c r="C67" s="365" t="s">
        <v>19</v>
      </c>
      <c r="D67" s="366">
        <f>IF(C67='4. Beheertypen complexiteit'!$C$6,VLOOKUP('2. Kostprijs per beheertype'!A67,'4. Beheertypen complexiteit'!$A$8:$I$59,3,FALSE),IF(C67='4. Beheertypen complexiteit'!$D$6,VLOOKUP('2. Kostprijs per beheertype'!A67,'4. Beheertypen complexiteit'!$A$8:$I$59,4,FALSE),IF(C67='4. Beheertypen complexiteit'!$E$6,VLOOKUP('2. Kostprijs per beheertype'!A67,'4. Beheertypen complexiteit'!$A$8:$I$59,5,FALSE),IF(C67='4. Beheertypen complexiteit'!$F$6,VLOOKUP('2. Kostprijs per beheertype'!A67,'4. Beheertypen complexiteit'!$A$8:$I$59,6,FALSE),IF(C67='4. Beheertypen complexiteit'!$G$6,VLOOKUP('2. Kostprijs per beheertype'!A67,'4. Beheertypen complexiteit'!$A$8:$I$59,7,FALSE),IF(C67='4. Beheertypen complexiteit'!$H$6,VLOOKUP('2. Kostprijs per beheertype'!A67,'4. Beheertypen complexiteit'!$A$8:$I$59,8,FALSE),IF(C67='4. Beheertypen complexiteit'!$I$6,VLOOKUP('2. Kostprijs per beheertype'!A67,'4. Beheertypen complexiteit'!$A$8:$I$59,9,FALSE),"Nvt")))))))</f>
        <v>1</v>
      </c>
      <c r="E67" s="367">
        <f>IF(C67='1. Samenvatting'!$H$9,VLOOKUP('2. Kostprijs per beheertype'!D67,'1. Samenvatting'!$G$9:$N$15,2,FALSE),IF(C67='1. Samenvatting'!$I$9,VLOOKUP('2. Kostprijs per beheertype'!D67,'1. Samenvatting'!$G$9:$N$15,3),IF(C67='1. Samenvatting'!$J$9,VLOOKUP('2. Kostprijs per beheertype'!D67,'1. Samenvatting'!$G$9:$N$15,4),IF(C67='1. Samenvatting'!$K$9,VLOOKUP('2. Kostprijs per beheertype'!D67,'1. Samenvatting'!$G$9:$N$15,5),IF(C67='1. Samenvatting'!$L$9,VLOOKUP('2. Kostprijs per beheertype'!D67,'1. Samenvatting'!$G$9:$N$15,6),IF(C67='1. Samenvatting'!$M$9,VLOOKUP('2. Kostprijs per beheertype'!D67,'1. Samenvatting'!$G$9:$N$15,7),IF(C67='1. Samenvatting'!$N$9,VLOOKUP('2. Kostprijs per beheertype'!D67,'1. Samenvatting'!$G$9:$N$15,8),"Nvt")))))))</f>
        <v>92.159399805164711</v>
      </c>
      <c r="F67" s="367">
        <f>IF(C67='1. Samenvatting'!$H$9,VLOOKUP('2. Kostprijs per beheertype'!D67,'1. Samenvatting'!$G$16:$N$20,2,FALSE),IF(C67='1. Samenvatting'!$I$9,VLOOKUP('2. Kostprijs per beheertype'!D67,'1. Samenvatting'!$G$16:$N$20,3,FALSE),IF(C67='1. Samenvatting'!$J$9,VLOOKUP('2. Kostprijs per beheertype'!D67,'1. Samenvatting'!$G$16:$N$20,4,FALSE),IF(C67='1. Samenvatting'!$K$9,VLOOKUP('2. Kostprijs per beheertype'!D67,'1. Samenvatting'!$G$16:$N$20,5,FALSE),IF(C67='1. Samenvatting'!$L$9,VLOOKUP('2. Kostprijs per beheertype'!D67,'1. Samenvatting'!$G$16:$N$20,6,FALSE),IF(C67='1. Samenvatting'!$M$9,VLOOKUP('2. Kostprijs per beheertype'!D67,'1. Samenvatting'!$G$16:$N$20,7,FALSE),IF(C67='1. Samenvatting'!$N$9,VLOOKUP('2. Kostprijs per beheertype'!D67,'1. Samenvatting'!$G$16:$N$20,8,FALSE),"Nvt")))))))</f>
        <v>112.82583216627582</v>
      </c>
      <c r="G67" s="368">
        <v>6</v>
      </c>
      <c r="H67" s="367">
        <f t="shared" si="0"/>
        <v>15.359899967527452</v>
      </c>
      <c r="I67" s="367">
        <f t="shared" si="1"/>
        <v>18.804305361045969</v>
      </c>
      <c r="J67" s="367">
        <f>'3. Parameters kostprijsmodel'!$F$36</f>
        <v>3.0089563425755728</v>
      </c>
      <c r="K67" s="361">
        <f>SUM(H67:H68)+J67</f>
        <v>38.975145042729764</v>
      </c>
      <c r="L67" s="362">
        <f>SUM(I67:I68)+J67</f>
        <v>42.419550436248279</v>
      </c>
    </row>
    <row r="68" spans="1:12" s="300" customFormat="1" ht="9.9499999999999993" customHeight="1" x14ac:dyDescent="0.15">
      <c r="A68" s="401" t="s">
        <v>74</v>
      </c>
      <c r="B68" s="401" t="s">
        <v>75</v>
      </c>
      <c r="C68" s="379" t="s">
        <v>16</v>
      </c>
      <c r="D68" s="380">
        <f>IF(C68='4. Beheertypen complexiteit'!$C$6,VLOOKUP('2. Kostprijs per beheertype'!A68,'4. Beheertypen complexiteit'!$A$8:$I$59,3,FALSE),IF(C68='4. Beheertypen complexiteit'!$D$6,VLOOKUP('2. Kostprijs per beheertype'!A68,'4. Beheertypen complexiteit'!$A$8:$I$59,4,FALSE),IF(C68='4. Beheertypen complexiteit'!$E$6,VLOOKUP('2. Kostprijs per beheertype'!A68,'4. Beheertypen complexiteit'!$A$8:$I$59,5,FALSE),IF(C68='4. Beheertypen complexiteit'!$F$6,VLOOKUP('2. Kostprijs per beheertype'!A68,'4. Beheertypen complexiteit'!$A$8:$I$59,6,FALSE),IF(C68='4. Beheertypen complexiteit'!$G$6,VLOOKUP('2. Kostprijs per beheertype'!A68,'4. Beheertypen complexiteit'!$A$8:$I$59,7,FALSE),IF(C68='4. Beheertypen complexiteit'!$H$6,VLOOKUP('2. Kostprijs per beheertype'!A68,'4. Beheertypen complexiteit'!$A$8:$I$59,8,FALSE),IF(C68='4. Beheertypen complexiteit'!$I$6,VLOOKUP('2. Kostprijs per beheertype'!A68,'4. Beheertypen complexiteit'!$A$8:$I$59,9,FALSE),"Nvt")))))))</f>
        <v>1</v>
      </c>
      <c r="E68" s="381">
        <f>IF(C68='1. Samenvatting'!$H$9,VLOOKUP('2. Kostprijs per beheertype'!D68,'1. Samenvatting'!$G$9:$N$15,2,FALSE),IF(C68='1. Samenvatting'!$I$9,VLOOKUP('2. Kostprijs per beheertype'!D68,'1. Samenvatting'!$G$9:$N$15,3),IF(C68='1. Samenvatting'!$J$9,VLOOKUP('2. Kostprijs per beheertype'!D68,'1. Samenvatting'!$G$9:$N$15,4),IF(C68='1. Samenvatting'!$K$9,VLOOKUP('2. Kostprijs per beheertype'!D68,'1. Samenvatting'!$G$9:$N$15,5),IF(C68='1. Samenvatting'!$L$9,VLOOKUP('2. Kostprijs per beheertype'!D68,'1. Samenvatting'!$G$9:$N$15,6),IF(C68='1. Samenvatting'!$M$9,VLOOKUP('2. Kostprijs per beheertype'!D68,'1. Samenvatting'!$G$9:$N$15,7),IF(C68='1. Samenvatting'!$N$9,VLOOKUP('2. Kostprijs per beheertype'!D68,'1. Samenvatting'!$G$9:$N$15,8),"Nvt")))))))</f>
        <v>247.27546479152085</v>
      </c>
      <c r="F68" s="381">
        <f>IF(C68='1. Samenvatting'!$H$9,VLOOKUP('2. Kostprijs per beheertype'!D68,'1. Samenvatting'!$G$16:$N$20,2,FALSE),IF(C68='1. Samenvatting'!$I$9,VLOOKUP('2. Kostprijs per beheertype'!D68,'1. Samenvatting'!$G$16:$N$20,3,FALSE),IF(C68='1. Samenvatting'!$J$9,VLOOKUP('2. Kostprijs per beheertype'!D68,'1. Samenvatting'!$G$16:$N$20,4,FALSE),IF(C68='1. Samenvatting'!$K$9,VLOOKUP('2. Kostprijs per beheertype'!D68,'1. Samenvatting'!$G$16:$N$20,5,FALSE),IF(C68='1. Samenvatting'!$L$9,VLOOKUP('2. Kostprijs per beheertype'!D68,'1. Samenvatting'!$G$16:$N$20,6,FALSE),IF(C68='1. Samenvatting'!$M$9,VLOOKUP('2. Kostprijs per beheertype'!D68,'1. Samenvatting'!$G$16:$N$20,7,FALSE),IF(C68='1. Samenvatting'!$N$9,VLOOKUP('2. Kostprijs per beheertype'!D68,'1. Samenvatting'!$G$16:$N$20,8,FALSE),"Nvt")))))))</f>
        <v>247.27546479152085</v>
      </c>
      <c r="G68" s="382">
        <v>12</v>
      </c>
      <c r="H68" s="381">
        <f t="shared" si="0"/>
        <v>20.606288732626737</v>
      </c>
      <c r="I68" s="381">
        <f t="shared" si="1"/>
        <v>20.606288732626737</v>
      </c>
      <c r="J68" s="381"/>
      <c r="K68" s="396"/>
      <c r="L68" s="397"/>
    </row>
    <row r="69" spans="1:12" s="300" customFormat="1" ht="9" x14ac:dyDescent="0.15">
      <c r="A69" s="398" t="s">
        <v>76</v>
      </c>
      <c r="B69" s="398" t="s">
        <v>77</v>
      </c>
      <c r="C69" s="365" t="s">
        <v>19</v>
      </c>
      <c r="D69" s="366">
        <f>IF(C69='4. Beheertypen complexiteit'!$C$6,VLOOKUP('2. Kostprijs per beheertype'!A69,'4. Beheertypen complexiteit'!$A$8:$I$59,3,FALSE),IF(C69='4. Beheertypen complexiteit'!$D$6,VLOOKUP('2. Kostprijs per beheertype'!A69,'4. Beheertypen complexiteit'!$A$8:$I$59,4,FALSE),IF(C69='4. Beheertypen complexiteit'!$E$6,VLOOKUP('2. Kostprijs per beheertype'!A69,'4. Beheertypen complexiteit'!$A$8:$I$59,5,FALSE),IF(C69='4. Beheertypen complexiteit'!$F$6,VLOOKUP('2. Kostprijs per beheertype'!A69,'4. Beheertypen complexiteit'!$A$8:$I$59,6,FALSE),IF(C69='4. Beheertypen complexiteit'!$G$6,VLOOKUP('2. Kostprijs per beheertype'!A69,'4. Beheertypen complexiteit'!$A$8:$I$59,7,FALSE),IF(C69='4. Beheertypen complexiteit'!$H$6,VLOOKUP('2. Kostprijs per beheertype'!A69,'4. Beheertypen complexiteit'!$A$8:$I$59,8,FALSE),IF(C69='4. Beheertypen complexiteit'!$I$6,VLOOKUP('2. Kostprijs per beheertype'!A69,'4. Beheertypen complexiteit'!$A$8:$I$59,9,FALSE),"Nvt")))))))</f>
        <v>1</v>
      </c>
      <c r="E69" s="367">
        <f>IF(C69='1. Samenvatting'!$H$9,VLOOKUP('2. Kostprijs per beheertype'!D69,'1. Samenvatting'!$G$9:$N$15,2,FALSE),IF(C69='1. Samenvatting'!$I$9,VLOOKUP('2. Kostprijs per beheertype'!D69,'1. Samenvatting'!$G$9:$N$15,3),IF(C69='1. Samenvatting'!$J$9,VLOOKUP('2. Kostprijs per beheertype'!D69,'1. Samenvatting'!$G$9:$N$15,4),IF(C69='1. Samenvatting'!$K$9,VLOOKUP('2. Kostprijs per beheertype'!D69,'1. Samenvatting'!$G$9:$N$15,5),IF(C69='1. Samenvatting'!$L$9,VLOOKUP('2. Kostprijs per beheertype'!D69,'1. Samenvatting'!$G$9:$N$15,6),IF(C69='1. Samenvatting'!$M$9,VLOOKUP('2. Kostprijs per beheertype'!D69,'1. Samenvatting'!$G$9:$N$15,7),IF(C69='1. Samenvatting'!$N$9,VLOOKUP('2. Kostprijs per beheertype'!D69,'1. Samenvatting'!$G$9:$N$15,8),"Nvt")))))))</f>
        <v>92.159399805164711</v>
      </c>
      <c r="F69" s="367">
        <f>IF(C69='1. Samenvatting'!$H$9,VLOOKUP('2. Kostprijs per beheertype'!D69,'1. Samenvatting'!$G$16:$N$20,2,FALSE),IF(C69='1. Samenvatting'!$I$9,VLOOKUP('2. Kostprijs per beheertype'!D69,'1. Samenvatting'!$G$16:$N$20,3,FALSE),IF(C69='1. Samenvatting'!$J$9,VLOOKUP('2. Kostprijs per beheertype'!D69,'1. Samenvatting'!$G$16:$N$20,4,FALSE),IF(C69='1. Samenvatting'!$K$9,VLOOKUP('2. Kostprijs per beheertype'!D69,'1. Samenvatting'!$G$16:$N$20,5,FALSE),IF(C69='1. Samenvatting'!$L$9,VLOOKUP('2. Kostprijs per beheertype'!D69,'1. Samenvatting'!$G$16:$N$20,6,FALSE),IF(C69='1. Samenvatting'!$M$9,VLOOKUP('2. Kostprijs per beheertype'!D69,'1. Samenvatting'!$G$16:$N$20,7,FALSE),IF(C69='1. Samenvatting'!$N$9,VLOOKUP('2. Kostprijs per beheertype'!D69,'1. Samenvatting'!$G$16:$N$20,8,FALSE),"Nvt")))))))</f>
        <v>112.82583216627582</v>
      </c>
      <c r="G69" s="368">
        <v>6</v>
      </c>
      <c r="H69" s="367">
        <f t="shared" si="0"/>
        <v>15.359899967527452</v>
      </c>
      <c r="I69" s="367">
        <f t="shared" si="1"/>
        <v>18.804305361045969</v>
      </c>
      <c r="J69" s="367">
        <f>'3. Parameters kostprijsmodel'!$F$36</f>
        <v>3.0089563425755728</v>
      </c>
      <c r="K69" s="361">
        <f>SUM(H69:H73)+J69</f>
        <v>57.440818543219322</v>
      </c>
      <c r="L69" s="362">
        <f>SUM(I69:I73)+J69</f>
        <v>65.006750328914904</v>
      </c>
    </row>
    <row r="70" spans="1:12" s="300" customFormat="1" ht="9" x14ac:dyDescent="0.15">
      <c r="A70" s="400" t="s">
        <v>76</v>
      </c>
      <c r="B70" s="400" t="s">
        <v>77</v>
      </c>
      <c r="C70" s="371" t="s">
        <v>21</v>
      </c>
      <c r="D70" s="372">
        <f>IF(C70='4. Beheertypen complexiteit'!$C$6,VLOOKUP('2. Kostprijs per beheertype'!A70,'4. Beheertypen complexiteit'!$A$8:$I$59,3,FALSE),IF(C70='4. Beheertypen complexiteit'!$D$6,VLOOKUP('2. Kostprijs per beheertype'!A70,'4. Beheertypen complexiteit'!$A$8:$I$59,4,FALSE),IF(C70='4. Beheertypen complexiteit'!$E$6,VLOOKUP('2. Kostprijs per beheertype'!A70,'4. Beheertypen complexiteit'!$A$8:$I$59,5,FALSE),IF(C70='4. Beheertypen complexiteit'!$F$6,VLOOKUP('2. Kostprijs per beheertype'!A70,'4. Beheertypen complexiteit'!$A$8:$I$59,6,FALSE),IF(C70='4. Beheertypen complexiteit'!$G$6,VLOOKUP('2. Kostprijs per beheertype'!A70,'4. Beheertypen complexiteit'!$A$8:$I$59,7,FALSE),IF(C70='4. Beheertypen complexiteit'!$H$6,VLOOKUP('2. Kostprijs per beheertype'!A70,'4. Beheertypen complexiteit'!$A$8:$I$59,8,FALSE),IF(C70='4. Beheertypen complexiteit'!$I$6,VLOOKUP('2. Kostprijs per beheertype'!A70,'4. Beheertypen complexiteit'!$A$8:$I$59,9,FALSE),"Nvt")))))))</f>
        <v>1</v>
      </c>
      <c r="E70" s="373">
        <f>IF(C70='1. Samenvatting'!$H$9,VLOOKUP('2. Kostprijs per beheertype'!D70,'1. Samenvatting'!$G$9:$N$15,2,FALSE),IF(C70='1. Samenvatting'!$I$9,VLOOKUP('2. Kostprijs per beheertype'!D70,'1. Samenvatting'!$G$9:$N$15,3),IF(C70='1. Samenvatting'!$J$9,VLOOKUP('2. Kostprijs per beheertype'!D70,'1. Samenvatting'!$G$9:$N$15,4),IF(C70='1. Samenvatting'!$K$9,VLOOKUP('2. Kostprijs per beheertype'!D70,'1. Samenvatting'!$G$9:$N$15,5),IF(C70='1. Samenvatting'!$L$9,VLOOKUP('2. Kostprijs per beheertype'!D70,'1. Samenvatting'!$G$9:$N$15,6),IF(C70='1. Samenvatting'!$M$9,VLOOKUP('2. Kostprijs per beheertype'!D70,'1. Samenvatting'!$G$9:$N$15,7),IF(C70='1. Samenvatting'!$N$9,VLOOKUP('2. Kostprijs per beheertype'!D70,'1. Samenvatting'!$G$9:$N$15,8),"Nvt")))))))</f>
        <v>50.928209617678966</v>
      </c>
      <c r="F70" s="373">
        <f>IF(C70='1. Samenvatting'!$H$9,VLOOKUP('2. Kostprijs per beheertype'!D70,'1. Samenvatting'!$G$16:$N$20,2,FALSE),IF(C70='1. Samenvatting'!$I$9,VLOOKUP('2. Kostprijs per beheertype'!D70,'1. Samenvatting'!$G$16:$N$20,3,FALSE),IF(C70='1. Samenvatting'!$J$9,VLOOKUP('2. Kostprijs per beheertype'!D70,'1. Samenvatting'!$G$16:$N$20,4,FALSE),IF(C70='1. Samenvatting'!$K$9,VLOOKUP('2. Kostprijs per beheertype'!D70,'1. Samenvatting'!$G$16:$N$20,5,FALSE),IF(C70='1. Samenvatting'!$L$9,VLOOKUP('2. Kostprijs per beheertype'!D70,'1. Samenvatting'!$G$16:$N$20,6,FALSE),IF(C70='1. Samenvatting'!$M$9,VLOOKUP('2. Kostprijs per beheertype'!D70,'1. Samenvatting'!$G$16:$N$20,7,FALSE),IF(C70='1. Samenvatting'!$N$9,VLOOKUP('2. Kostprijs per beheertype'!D70,'1. Samenvatting'!$G$16:$N$20,8,FALSE),"Nvt")))))))</f>
        <v>52.877897479669919</v>
      </c>
      <c r="G70" s="374">
        <v>6</v>
      </c>
      <c r="H70" s="373">
        <f t="shared" si="0"/>
        <v>8.4880349362798277</v>
      </c>
      <c r="I70" s="373">
        <f t="shared" si="1"/>
        <v>8.8129829132783204</v>
      </c>
      <c r="J70" s="373"/>
      <c r="K70" s="393"/>
      <c r="L70" s="394"/>
    </row>
    <row r="71" spans="1:12" s="300" customFormat="1" ht="9" x14ac:dyDescent="0.15">
      <c r="A71" s="400" t="s">
        <v>76</v>
      </c>
      <c r="B71" s="400" t="s">
        <v>77</v>
      </c>
      <c r="C71" s="389" t="s">
        <v>25</v>
      </c>
      <c r="D71" s="390">
        <f>IF(C71='4. Beheertypen complexiteit'!$C$6,VLOOKUP('2. Kostprijs per beheertype'!A71,'4. Beheertypen complexiteit'!$A$8:$I$59,3,FALSE),IF(C71='4. Beheertypen complexiteit'!$D$6,VLOOKUP('2. Kostprijs per beheertype'!A71,'4. Beheertypen complexiteit'!$A$8:$I$59,4,FALSE),IF(C71='4. Beheertypen complexiteit'!$E$6,VLOOKUP('2. Kostprijs per beheertype'!A71,'4. Beheertypen complexiteit'!$A$8:$I$59,5,FALSE),IF(C71='4. Beheertypen complexiteit'!$F$6,VLOOKUP('2. Kostprijs per beheertype'!A71,'4. Beheertypen complexiteit'!$A$8:$I$59,6,FALSE),IF(C71='4. Beheertypen complexiteit'!$G$6,VLOOKUP('2. Kostprijs per beheertype'!A71,'4. Beheertypen complexiteit'!$A$8:$I$59,7,FALSE),IF(C71='4. Beheertypen complexiteit'!$H$6,VLOOKUP('2. Kostprijs per beheertype'!A71,'4. Beheertypen complexiteit'!$A$8:$I$59,8,FALSE),IF(C71='4. Beheertypen complexiteit'!$I$6,VLOOKUP('2. Kostprijs per beheertype'!A71,'4. Beheertypen complexiteit'!$A$8:$I$59,9,FALSE),"Nvt")))))))</f>
        <v>2</v>
      </c>
      <c r="E71" s="391">
        <f>IF(C71='1. Samenvatting'!$H$9,VLOOKUP('2. Kostprijs per beheertype'!D71,'1. Samenvatting'!$G$9:$N$15,2,FALSE),IF(C71='1. Samenvatting'!$I$9,VLOOKUP('2. Kostprijs per beheertype'!D71,'1. Samenvatting'!$G$9:$N$15,3),IF(C71='1. Samenvatting'!$J$9,VLOOKUP('2. Kostprijs per beheertype'!D71,'1. Samenvatting'!$G$9:$N$15,4),IF(C71='1. Samenvatting'!$K$9,VLOOKUP('2. Kostprijs per beheertype'!D71,'1. Samenvatting'!$G$9:$N$15,5),IF(C71='1. Samenvatting'!$L$9,VLOOKUP('2. Kostprijs per beheertype'!D71,'1. Samenvatting'!$G$9:$N$15,6),IF(C71='1. Samenvatting'!$M$9,VLOOKUP('2. Kostprijs per beheertype'!D71,'1. Samenvatting'!$G$9:$N$15,7),IF(C71='1. Samenvatting'!$N$9,VLOOKUP('2. Kostprijs per beheertype'!D71,'1. Samenvatting'!$G$9:$N$15,8),"Nvt")))))))</f>
        <v>59.865831385258396</v>
      </c>
      <c r="F71" s="391">
        <f>IF(C71='1. Samenvatting'!$H$9,VLOOKUP('2. Kostprijs per beheertype'!D71,'1. Samenvatting'!$G$16:$N$20,2,FALSE),IF(C71='1. Samenvatting'!$I$9,VLOOKUP('2. Kostprijs per beheertype'!D71,'1. Samenvatting'!$G$16:$N$20,3,FALSE),IF(C71='1. Samenvatting'!$J$9,VLOOKUP('2. Kostprijs per beheertype'!D71,'1. Samenvatting'!$G$16:$N$20,4,FALSE),IF(C71='1. Samenvatting'!$K$9,VLOOKUP('2. Kostprijs per beheertype'!D71,'1. Samenvatting'!$G$16:$N$20,5,FALSE),IF(C71='1. Samenvatting'!$L$9,VLOOKUP('2. Kostprijs per beheertype'!D71,'1. Samenvatting'!$G$16:$N$20,6,FALSE),IF(C71='1. Samenvatting'!$M$9,VLOOKUP('2. Kostprijs per beheertype'!D71,'1. Samenvatting'!$G$16:$N$20,7,FALSE),IF(C71='1. Samenvatting'!$N$9,VLOOKUP('2. Kostprijs per beheertype'!D71,'1. Samenvatting'!$G$16:$N$20,8,FALSE),"Nvt")))))))</f>
        <v>82.645301876329853</v>
      </c>
      <c r="G71" s="392">
        <v>6</v>
      </c>
      <c r="H71" s="391">
        <f t="shared" si="0"/>
        <v>9.9776385642097321</v>
      </c>
      <c r="I71" s="391">
        <f t="shared" si="1"/>
        <v>13.774216979388308</v>
      </c>
      <c r="J71" s="391"/>
      <c r="K71" s="393"/>
      <c r="L71" s="394"/>
    </row>
    <row r="72" spans="1:12" s="300" customFormat="1" ht="9" x14ac:dyDescent="0.15">
      <c r="A72" s="400" t="s">
        <v>76</v>
      </c>
      <c r="B72" s="400" t="s">
        <v>77</v>
      </c>
      <c r="C72" s="371" t="s">
        <v>155</v>
      </c>
      <c r="D72" s="372" t="str">
        <f>IF(C72='4. Beheertypen complexiteit'!$C$6,VLOOKUP('2. Kostprijs per beheertype'!A72,'4. Beheertypen complexiteit'!$A$8:$I$59,3,FALSE),IF(C72='4. Beheertypen complexiteit'!$D$6,VLOOKUP('2. Kostprijs per beheertype'!A72,'4. Beheertypen complexiteit'!$A$8:$I$59,4,FALSE),IF(C72='4. Beheertypen complexiteit'!$E$6,VLOOKUP('2. Kostprijs per beheertype'!A72,'4. Beheertypen complexiteit'!$A$8:$I$59,5,FALSE),IF(C72='4. Beheertypen complexiteit'!$F$6,VLOOKUP('2. Kostprijs per beheertype'!A72,'4. Beheertypen complexiteit'!$A$8:$I$59,6,FALSE),IF(C72='4. Beheertypen complexiteit'!$G$6,VLOOKUP('2. Kostprijs per beheertype'!A72,'4. Beheertypen complexiteit'!$A$8:$I$59,7,FALSE),IF(C72='4. Beheertypen complexiteit'!$H$6,VLOOKUP('2. Kostprijs per beheertype'!A72,'4. Beheertypen complexiteit'!$A$8:$I$59,8,FALSE),IF(C72='4. Beheertypen complexiteit'!$I$6,VLOOKUP('2. Kostprijs per beheertype'!A72,'4. Beheertypen complexiteit'!$A$8:$I$59,9,FALSE),"Nvt")))))))</f>
        <v>Nvt</v>
      </c>
      <c r="E72" s="373" t="str">
        <f>IF(C72='1. Samenvatting'!$H$9,VLOOKUP('2. Kostprijs per beheertype'!D72,'1. Samenvatting'!$G$9:$N$15,2,FALSE),IF(C72='1. Samenvatting'!$I$9,VLOOKUP('2. Kostprijs per beheertype'!D72,'1. Samenvatting'!$G$9:$N$15,3),IF(C72='1. Samenvatting'!$J$9,VLOOKUP('2. Kostprijs per beheertype'!D72,'1. Samenvatting'!$G$9:$N$15,4),IF(C72='1. Samenvatting'!$K$9,VLOOKUP('2. Kostprijs per beheertype'!D72,'1. Samenvatting'!$G$9:$N$15,5),IF(C72='1. Samenvatting'!$L$9,VLOOKUP('2. Kostprijs per beheertype'!D72,'1. Samenvatting'!$G$9:$N$15,6),IF(C72='1. Samenvatting'!$M$9,VLOOKUP('2. Kostprijs per beheertype'!D72,'1. Samenvatting'!$G$9:$N$15,7),IF(C72='1. Samenvatting'!$N$9,VLOOKUP('2. Kostprijs per beheertype'!D72,'1. Samenvatting'!$G$9:$N$15,8),"Nvt")))))))</f>
        <v>Nvt</v>
      </c>
      <c r="F72" s="373" t="str">
        <f>IF(C72='1. Samenvatting'!$H$9,VLOOKUP('2. Kostprijs per beheertype'!D72,'1. Samenvatting'!$G$16:$N$20,2,FALSE),IF(C72='1. Samenvatting'!$I$9,VLOOKUP('2. Kostprijs per beheertype'!D72,'1. Samenvatting'!$G$16:$N$20,3,FALSE),IF(C72='1. Samenvatting'!$J$9,VLOOKUP('2. Kostprijs per beheertype'!D72,'1. Samenvatting'!$G$16:$N$20,4,FALSE),IF(C72='1. Samenvatting'!$K$9,VLOOKUP('2. Kostprijs per beheertype'!D72,'1. Samenvatting'!$G$16:$N$20,5,FALSE),IF(C72='1. Samenvatting'!$L$9,VLOOKUP('2. Kostprijs per beheertype'!D72,'1. Samenvatting'!$G$16:$N$20,6,FALSE),IF(C72='1. Samenvatting'!$M$9,VLOOKUP('2. Kostprijs per beheertype'!D72,'1. Samenvatting'!$G$16:$N$20,7,FALSE),IF(C72='1. Samenvatting'!$N$9,VLOOKUP('2. Kostprijs per beheertype'!D72,'1. Samenvatting'!$G$16:$N$20,8,FALSE),"Nvt")))))))</f>
        <v>Nvt</v>
      </c>
      <c r="G72" s="374">
        <v>6</v>
      </c>
      <c r="H72" s="373">
        <f t="shared" si="0"/>
        <v>0</v>
      </c>
      <c r="I72" s="373">
        <f t="shared" si="1"/>
        <v>0</v>
      </c>
      <c r="J72" s="373"/>
      <c r="K72" s="393"/>
      <c r="L72" s="394"/>
    </row>
    <row r="73" spans="1:12" s="300" customFormat="1" ht="9" x14ac:dyDescent="0.15">
      <c r="A73" s="401" t="s">
        <v>76</v>
      </c>
      <c r="B73" s="401" t="s">
        <v>77</v>
      </c>
      <c r="C73" s="379" t="s">
        <v>16</v>
      </c>
      <c r="D73" s="380">
        <f>IF(C73='4. Beheertypen complexiteit'!$C$6,VLOOKUP('2. Kostprijs per beheertype'!A73,'4. Beheertypen complexiteit'!$A$8:$I$59,3,FALSE),IF(C73='4. Beheertypen complexiteit'!$D$6,VLOOKUP('2. Kostprijs per beheertype'!A73,'4. Beheertypen complexiteit'!$A$8:$I$59,4,FALSE),IF(C73='4. Beheertypen complexiteit'!$E$6,VLOOKUP('2. Kostprijs per beheertype'!A73,'4. Beheertypen complexiteit'!$A$8:$I$59,5,FALSE),IF(C73='4. Beheertypen complexiteit'!$F$6,VLOOKUP('2. Kostprijs per beheertype'!A73,'4. Beheertypen complexiteit'!$A$8:$I$59,6,FALSE),IF(C73='4. Beheertypen complexiteit'!$G$6,VLOOKUP('2. Kostprijs per beheertype'!A73,'4. Beheertypen complexiteit'!$A$8:$I$59,7,FALSE),IF(C73='4. Beheertypen complexiteit'!$H$6,VLOOKUP('2. Kostprijs per beheertype'!A73,'4. Beheertypen complexiteit'!$A$8:$I$59,8,FALSE),IF(C73='4. Beheertypen complexiteit'!$I$6,VLOOKUP('2. Kostprijs per beheertype'!A73,'4. Beheertypen complexiteit'!$A$8:$I$59,9,FALSE),"Nvt")))))))</f>
        <v>1</v>
      </c>
      <c r="E73" s="381">
        <f>IF(C73='1. Samenvatting'!$H$9,VLOOKUP('2. Kostprijs per beheertype'!D73,'1. Samenvatting'!$G$9:$N$15,2,FALSE),IF(C73='1. Samenvatting'!$I$9,VLOOKUP('2. Kostprijs per beheertype'!D73,'1. Samenvatting'!$G$9:$N$15,3),IF(C73='1. Samenvatting'!$J$9,VLOOKUP('2. Kostprijs per beheertype'!D73,'1. Samenvatting'!$G$9:$N$15,4),IF(C73='1. Samenvatting'!$K$9,VLOOKUP('2. Kostprijs per beheertype'!D73,'1. Samenvatting'!$G$9:$N$15,5),IF(C73='1. Samenvatting'!$L$9,VLOOKUP('2. Kostprijs per beheertype'!D73,'1. Samenvatting'!$G$9:$N$15,6),IF(C73='1. Samenvatting'!$M$9,VLOOKUP('2. Kostprijs per beheertype'!D73,'1. Samenvatting'!$G$9:$N$15,7),IF(C73='1. Samenvatting'!$N$9,VLOOKUP('2. Kostprijs per beheertype'!D73,'1. Samenvatting'!$G$9:$N$15,8),"Nvt")))))))</f>
        <v>247.27546479152085</v>
      </c>
      <c r="F73" s="381">
        <f>IF(C73='1. Samenvatting'!$H$9,VLOOKUP('2. Kostprijs per beheertype'!D73,'1. Samenvatting'!$G$16:$N$20,2,FALSE),IF(C73='1. Samenvatting'!$I$9,VLOOKUP('2. Kostprijs per beheertype'!D73,'1. Samenvatting'!$G$16:$N$20,3,FALSE),IF(C73='1. Samenvatting'!$J$9,VLOOKUP('2. Kostprijs per beheertype'!D73,'1. Samenvatting'!$G$16:$N$20,4,FALSE),IF(C73='1. Samenvatting'!$K$9,VLOOKUP('2. Kostprijs per beheertype'!D73,'1. Samenvatting'!$G$16:$N$20,5,FALSE),IF(C73='1. Samenvatting'!$L$9,VLOOKUP('2. Kostprijs per beheertype'!D73,'1. Samenvatting'!$G$16:$N$20,6,FALSE),IF(C73='1. Samenvatting'!$M$9,VLOOKUP('2. Kostprijs per beheertype'!D73,'1. Samenvatting'!$G$16:$N$20,7,FALSE),IF(C73='1. Samenvatting'!$N$9,VLOOKUP('2. Kostprijs per beheertype'!D73,'1. Samenvatting'!$G$16:$N$20,8,FALSE),"Nvt")))))))</f>
        <v>247.27546479152085</v>
      </c>
      <c r="G73" s="382">
        <v>12</v>
      </c>
      <c r="H73" s="381">
        <f t="shared" si="0"/>
        <v>20.606288732626737</v>
      </c>
      <c r="I73" s="381">
        <f t="shared" si="1"/>
        <v>20.606288732626737</v>
      </c>
      <c r="J73" s="381"/>
      <c r="K73" s="396"/>
      <c r="L73" s="397"/>
    </row>
    <row r="74" spans="1:12" s="300" customFormat="1" ht="9" x14ac:dyDescent="0.15">
      <c r="A74" s="398" t="s">
        <v>78</v>
      </c>
      <c r="B74" s="398" t="s">
        <v>79</v>
      </c>
      <c r="C74" s="365" t="s">
        <v>19</v>
      </c>
      <c r="D74" s="366">
        <f>IF(C74='4. Beheertypen complexiteit'!$C$6,VLOOKUP('2. Kostprijs per beheertype'!A74,'4. Beheertypen complexiteit'!$A$8:$I$59,3,FALSE),IF(C74='4. Beheertypen complexiteit'!$D$6,VLOOKUP('2. Kostprijs per beheertype'!A74,'4. Beheertypen complexiteit'!$A$8:$I$59,4,FALSE),IF(C74='4. Beheertypen complexiteit'!$E$6,VLOOKUP('2. Kostprijs per beheertype'!A74,'4. Beheertypen complexiteit'!$A$8:$I$59,5,FALSE),IF(C74='4. Beheertypen complexiteit'!$F$6,VLOOKUP('2. Kostprijs per beheertype'!A74,'4. Beheertypen complexiteit'!$A$8:$I$59,6,FALSE),IF(C74='4. Beheertypen complexiteit'!$G$6,VLOOKUP('2. Kostprijs per beheertype'!A74,'4. Beheertypen complexiteit'!$A$8:$I$59,7,FALSE),IF(C74='4. Beheertypen complexiteit'!$H$6,VLOOKUP('2. Kostprijs per beheertype'!A74,'4. Beheertypen complexiteit'!$A$8:$I$59,8,FALSE),IF(C74='4. Beheertypen complexiteit'!$I$6,VLOOKUP('2. Kostprijs per beheertype'!A74,'4. Beheertypen complexiteit'!$A$8:$I$59,9,FALSE),"Nvt")))))))</f>
        <v>2</v>
      </c>
      <c r="E74" s="367">
        <f>IF(C74='1. Samenvatting'!$H$9,VLOOKUP('2. Kostprijs per beheertype'!D74,'1. Samenvatting'!$G$9:$N$15,2,FALSE),IF(C74='1. Samenvatting'!$I$9,VLOOKUP('2. Kostprijs per beheertype'!D74,'1. Samenvatting'!$G$9:$N$15,3),IF(C74='1. Samenvatting'!$J$9,VLOOKUP('2. Kostprijs per beheertype'!D74,'1. Samenvatting'!$G$9:$N$15,4),IF(C74='1. Samenvatting'!$K$9,VLOOKUP('2. Kostprijs per beheertype'!D74,'1. Samenvatting'!$G$9:$N$15,5),IF(C74='1. Samenvatting'!$L$9,VLOOKUP('2. Kostprijs per beheertype'!D74,'1. Samenvatting'!$G$9:$N$15,6),IF(C74='1. Samenvatting'!$M$9,VLOOKUP('2. Kostprijs per beheertype'!D74,'1. Samenvatting'!$G$9:$N$15,7),IF(C74='1. Samenvatting'!$N$9,VLOOKUP('2. Kostprijs per beheertype'!D74,'1. Samenvatting'!$G$9:$N$15,8),"Nvt")))))))</f>
        <v>55.738852766567376</v>
      </c>
      <c r="F74" s="367">
        <f>IF(C74='1. Samenvatting'!$H$9,VLOOKUP('2. Kostprijs per beheertype'!D74,'1. Samenvatting'!$G$16:$N$20,2,FALSE),IF(C74='1. Samenvatting'!$I$9,VLOOKUP('2. Kostprijs per beheertype'!D74,'1. Samenvatting'!$G$16:$N$20,3,FALSE),IF(C74='1. Samenvatting'!$J$9,VLOOKUP('2. Kostprijs per beheertype'!D74,'1. Samenvatting'!$G$16:$N$20,4,FALSE),IF(C74='1. Samenvatting'!$K$9,VLOOKUP('2. Kostprijs per beheertype'!D74,'1. Samenvatting'!$G$16:$N$20,5,FALSE),IF(C74='1. Samenvatting'!$L$9,VLOOKUP('2. Kostprijs per beheertype'!D74,'1. Samenvatting'!$G$16:$N$20,6,FALSE),IF(C74='1. Samenvatting'!$M$9,VLOOKUP('2. Kostprijs per beheertype'!D74,'1. Samenvatting'!$G$16:$N$20,7,FALSE),IF(C74='1. Samenvatting'!$N$9,VLOOKUP('2. Kostprijs per beheertype'!D74,'1. Samenvatting'!$G$16:$N$20,8,FALSE),"Nvt")))))))</f>
        <v>66.622547266567381</v>
      </c>
      <c r="G74" s="368">
        <v>6</v>
      </c>
      <c r="H74" s="367">
        <f t="shared" si="0"/>
        <v>9.2898087944278966</v>
      </c>
      <c r="I74" s="367">
        <f t="shared" si="1"/>
        <v>11.103757877761231</v>
      </c>
      <c r="J74" s="367">
        <f>'3. Parameters kostprijsmodel'!$F$36</f>
        <v>3.0089563425755728</v>
      </c>
      <c r="K74" s="361">
        <f>SUM(H74:H78)+J74</f>
        <v>30.02681073513995</v>
      </c>
      <c r="L74" s="362">
        <f>SUM(I74:I78)+J74</f>
        <v>33.728107094114314</v>
      </c>
    </row>
    <row r="75" spans="1:12" s="300" customFormat="1" ht="9" x14ac:dyDescent="0.15">
      <c r="A75" s="400" t="s">
        <v>78</v>
      </c>
      <c r="B75" s="400" t="s">
        <v>79</v>
      </c>
      <c r="C75" s="371" t="s">
        <v>21</v>
      </c>
      <c r="D75" s="372">
        <f>IF(C75='4. Beheertypen complexiteit'!$C$6,VLOOKUP('2. Kostprijs per beheertype'!A75,'4. Beheertypen complexiteit'!$A$8:$I$59,3,FALSE),IF(C75='4. Beheertypen complexiteit'!$D$6,VLOOKUP('2. Kostprijs per beheertype'!A75,'4. Beheertypen complexiteit'!$A$8:$I$59,4,FALSE),IF(C75='4. Beheertypen complexiteit'!$E$6,VLOOKUP('2. Kostprijs per beheertype'!A75,'4. Beheertypen complexiteit'!$A$8:$I$59,5,FALSE),IF(C75='4. Beheertypen complexiteit'!$F$6,VLOOKUP('2. Kostprijs per beheertype'!A75,'4. Beheertypen complexiteit'!$A$8:$I$59,6,FALSE),IF(C75='4. Beheertypen complexiteit'!$G$6,VLOOKUP('2. Kostprijs per beheertype'!A75,'4. Beheertypen complexiteit'!$A$8:$I$59,7,FALSE),IF(C75='4. Beheertypen complexiteit'!$H$6,VLOOKUP('2. Kostprijs per beheertype'!A75,'4. Beheertypen complexiteit'!$A$8:$I$59,8,FALSE),IF(C75='4. Beheertypen complexiteit'!$I$6,VLOOKUP('2. Kostprijs per beheertype'!A75,'4. Beheertypen complexiteit'!$A$8:$I$59,9,FALSE),"Nvt")))))))</f>
        <v>2</v>
      </c>
      <c r="E75" s="373">
        <f>IF(C75='1. Samenvatting'!$H$9,VLOOKUP('2. Kostprijs per beheertype'!D75,'1. Samenvatting'!$G$9:$N$15,2,FALSE),IF(C75='1. Samenvatting'!$I$9,VLOOKUP('2. Kostprijs per beheertype'!D75,'1. Samenvatting'!$G$9:$N$15,3),IF(C75='1. Samenvatting'!$J$9,VLOOKUP('2. Kostprijs per beheertype'!D75,'1. Samenvatting'!$G$9:$N$15,4),IF(C75='1. Samenvatting'!$K$9,VLOOKUP('2. Kostprijs per beheertype'!D75,'1. Samenvatting'!$G$9:$N$15,5),IF(C75='1. Samenvatting'!$L$9,VLOOKUP('2. Kostprijs per beheertype'!D75,'1. Samenvatting'!$G$9:$N$15,6),IF(C75='1. Samenvatting'!$M$9,VLOOKUP('2. Kostprijs per beheertype'!D75,'1. Samenvatting'!$G$9:$N$15,7),IF(C75='1. Samenvatting'!$N$9,VLOOKUP('2. Kostprijs per beheertype'!D75,'1. Samenvatting'!$G$9:$N$15,8),"Nvt")))))))</f>
        <v>34.542464078783418</v>
      </c>
      <c r="F75" s="373">
        <f>IF(C75='1. Samenvatting'!$H$9,VLOOKUP('2. Kostprijs per beheertype'!D75,'1. Samenvatting'!$G$16:$N$20,2,FALSE),IF(C75='1. Samenvatting'!$I$9,VLOOKUP('2. Kostprijs per beheertype'!D75,'1. Samenvatting'!$G$16:$N$20,3,FALSE),IF(C75='1. Samenvatting'!$J$9,VLOOKUP('2. Kostprijs per beheertype'!D75,'1. Samenvatting'!$G$16:$N$20,4,FALSE),IF(C75='1. Samenvatting'!$K$9,VLOOKUP('2. Kostprijs per beheertype'!D75,'1. Samenvatting'!$G$16:$N$20,5,FALSE),IF(C75='1. Samenvatting'!$L$9,VLOOKUP('2. Kostprijs per beheertype'!D75,'1. Samenvatting'!$G$16:$N$20,6,FALSE),IF(C75='1. Samenvatting'!$M$9,VLOOKUP('2. Kostprijs per beheertype'!D75,'1. Samenvatting'!$G$16:$N$20,7,FALSE),IF(C75='1. Samenvatting'!$N$9,VLOOKUP('2. Kostprijs per beheertype'!D75,'1. Samenvatting'!$G$16:$N$20,8,FALSE),"Nvt")))))))</f>
        <v>35.564482732629571</v>
      </c>
      <c r="G75" s="374">
        <v>6</v>
      </c>
      <c r="H75" s="373">
        <f t="shared" si="0"/>
        <v>5.7570773464639027</v>
      </c>
      <c r="I75" s="373">
        <f t="shared" si="1"/>
        <v>5.9274137887715952</v>
      </c>
      <c r="J75" s="373"/>
      <c r="K75" s="393"/>
      <c r="L75" s="394"/>
    </row>
    <row r="76" spans="1:12" s="300" customFormat="1" ht="9" x14ac:dyDescent="0.15">
      <c r="A76" s="400" t="s">
        <v>78</v>
      </c>
      <c r="B76" s="400" t="s">
        <v>79</v>
      </c>
      <c r="C76" s="414" t="s">
        <v>36</v>
      </c>
      <c r="D76" s="415">
        <f>IF(C76='4. Beheertypen complexiteit'!$C$6,VLOOKUP('2. Kostprijs per beheertype'!A76,'4. Beheertypen complexiteit'!$A$8:$I$59,3,FALSE),IF(C76='4. Beheertypen complexiteit'!$D$6,VLOOKUP('2. Kostprijs per beheertype'!A76,'4. Beheertypen complexiteit'!$A$8:$I$59,4,FALSE),IF(C76='4. Beheertypen complexiteit'!$E$6,VLOOKUP('2. Kostprijs per beheertype'!A76,'4. Beheertypen complexiteit'!$A$8:$I$59,5,FALSE),IF(C76='4. Beheertypen complexiteit'!$F$6,VLOOKUP('2. Kostprijs per beheertype'!A76,'4. Beheertypen complexiteit'!$A$8:$I$59,6,FALSE),IF(C76='4. Beheertypen complexiteit'!$G$6,VLOOKUP('2. Kostprijs per beheertype'!A76,'4. Beheertypen complexiteit'!$A$8:$I$59,7,FALSE),IF(C76='4. Beheertypen complexiteit'!$H$6,VLOOKUP('2. Kostprijs per beheertype'!A76,'4. Beheertypen complexiteit'!$A$8:$I$59,8,FALSE),IF(C76='4. Beheertypen complexiteit'!$I$6,VLOOKUP('2. Kostprijs per beheertype'!A76,'4. Beheertypen complexiteit'!$A$8:$I$59,9,FALSE),"Nvt")))))))</f>
        <v>2</v>
      </c>
      <c r="E76" s="416">
        <f>IF(C76='1. Samenvatting'!$H$9,VLOOKUP('2. Kostprijs per beheertype'!D76,'1. Samenvatting'!$G$9:$N$15,2,FALSE),IF(C76='1. Samenvatting'!$I$9,VLOOKUP('2. Kostprijs per beheertype'!D76,'1. Samenvatting'!$G$9:$N$15,3),IF(C76='1. Samenvatting'!$J$9,VLOOKUP('2. Kostprijs per beheertype'!D76,'1. Samenvatting'!$G$9:$N$15,4),IF(C76='1. Samenvatting'!$K$9,VLOOKUP('2. Kostprijs per beheertype'!D76,'1. Samenvatting'!$G$9:$N$15,5),IF(C76='1. Samenvatting'!$L$9,VLOOKUP('2. Kostprijs per beheertype'!D76,'1. Samenvatting'!$G$9:$N$15,6),IF(C76='1. Samenvatting'!$M$9,VLOOKUP('2. Kostprijs per beheertype'!D76,'1. Samenvatting'!$G$9:$N$15,7),IF(C76='1. Samenvatting'!$N$9,VLOOKUP('2. Kostprijs per beheertype'!D76,'1. Samenvatting'!$G$9:$N$15,8),"Nvt")))))))</f>
        <v>33.653086218723409</v>
      </c>
      <c r="F76" s="416">
        <f>IF(C76='1. Samenvatting'!$H$9,VLOOKUP('2. Kostprijs per beheertype'!D76,'1. Samenvatting'!$G$16:$N$20,2,FALSE),IF(C76='1. Samenvatting'!$I$9,VLOOKUP('2. Kostprijs per beheertype'!D76,'1. Samenvatting'!$G$16:$N$20,3,FALSE),IF(C76='1. Samenvatting'!$J$9,VLOOKUP('2. Kostprijs per beheertype'!D76,'1. Samenvatting'!$G$16:$N$20,4,FALSE),IF(C76='1. Samenvatting'!$K$9,VLOOKUP('2. Kostprijs per beheertype'!D76,'1. Samenvatting'!$G$16:$N$20,5,FALSE),IF(C76='1. Samenvatting'!$L$9,VLOOKUP('2. Kostprijs per beheertype'!D76,'1. Samenvatting'!$G$16:$N$20,6,FALSE),IF(C76='1. Samenvatting'!$M$9,VLOOKUP('2. Kostprijs per beheertype'!D76,'1. Samenvatting'!$G$16:$N$20,7,FALSE),IF(C76='1. Samenvatting'!$N$9,VLOOKUP('2. Kostprijs per beheertype'!D76,'1. Samenvatting'!$G$16:$N$20,8,FALSE),"Nvt")))))))</f>
        <v>43.955151218723415</v>
      </c>
      <c r="G76" s="417">
        <v>6</v>
      </c>
      <c r="H76" s="416">
        <f t="shared" ref="H76:H142" si="2">IF(E76="Nvt",0,E76/G76)</f>
        <v>5.6088477031205679</v>
      </c>
      <c r="I76" s="416">
        <f t="shared" ref="I76:I142" si="3">IF(F76="Nvt",0,F76/G76)</f>
        <v>7.3258585364539028</v>
      </c>
      <c r="J76" s="416"/>
      <c r="K76" s="393"/>
      <c r="L76" s="394"/>
    </row>
    <row r="77" spans="1:12" s="300" customFormat="1" ht="9" x14ac:dyDescent="0.15">
      <c r="A77" s="400" t="s">
        <v>78</v>
      </c>
      <c r="B77" s="400" t="s">
        <v>79</v>
      </c>
      <c r="C77" s="371" t="s">
        <v>155</v>
      </c>
      <c r="D77" s="372" t="str">
        <f>IF(C77='4. Beheertypen complexiteit'!$C$6,VLOOKUP('2. Kostprijs per beheertype'!A77,'4. Beheertypen complexiteit'!$A$8:$I$59,3,FALSE),IF(C77='4. Beheertypen complexiteit'!$D$6,VLOOKUP('2. Kostprijs per beheertype'!A77,'4. Beheertypen complexiteit'!$A$8:$I$59,4,FALSE),IF(C77='4. Beheertypen complexiteit'!$E$6,VLOOKUP('2. Kostprijs per beheertype'!A77,'4. Beheertypen complexiteit'!$A$8:$I$59,5,FALSE),IF(C77='4. Beheertypen complexiteit'!$F$6,VLOOKUP('2. Kostprijs per beheertype'!A77,'4. Beheertypen complexiteit'!$A$8:$I$59,6,FALSE),IF(C77='4. Beheertypen complexiteit'!$G$6,VLOOKUP('2. Kostprijs per beheertype'!A77,'4. Beheertypen complexiteit'!$A$8:$I$59,7,FALSE),IF(C77='4. Beheertypen complexiteit'!$H$6,VLOOKUP('2. Kostprijs per beheertype'!A77,'4. Beheertypen complexiteit'!$A$8:$I$59,8,FALSE),IF(C77='4. Beheertypen complexiteit'!$I$6,VLOOKUP('2. Kostprijs per beheertype'!A77,'4. Beheertypen complexiteit'!$A$8:$I$59,9,FALSE),"Nvt")))))))</f>
        <v>Nvt</v>
      </c>
      <c r="E77" s="373" t="str">
        <f>IF(C77='1. Samenvatting'!$H$9,VLOOKUP('2. Kostprijs per beheertype'!D77,'1. Samenvatting'!$G$9:$N$15,2,FALSE),IF(C77='1. Samenvatting'!$I$9,VLOOKUP('2. Kostprijs per beheertype'!D77,'1. Samenvatting'!$G$9:$N$15,3),IF(C77='1. Samenvatting'!$J$9,VLOOKUP('2. Kostprijs per beheertype'!D77,'1. Samenvatting'!$G$9:$N$15,4),IF(C77='1. Samenvatting'!$K$9,VLOOKUP('2. Kostprijs per beheertype'!D77,'1. Samenvatting'!$G$9:$N$15,5),IF(C77='1. Samenvatting'!$L$9,VLOOKUP('2. Kostprijs per beheertype'!D77,'1. Samenvatting'!$G$9:$N$15,6),IF(C77='1. Samenvatting'!$M$9,VLOOKUP('2. Kostprijs per beheertype'!D77,'1. Samenvatting'!$G$9:$N$15,7),IF(C77='1. Samenvatting'!$N$9,VLOOKUP('2. Kostprijs per beheertype'!D77,'1. Samenvatting'!$G$9:$N$15,8),"Nvt")))))))</f>
        <v>Nvt</v>
      </c>
      <c r="F77" s="373" t="str">
        <f>IF(C77='1. Samenvatting'!$H$9,VLOOKUP('2. Kostprijs per beheertype'!D77,'1. Samenvatting'!$G$16:$N$20,2,FALSE),IF(C77='1. Samenvatting'!$I$9,VLOOKUP('2. Kostprijs per beheertype'!D77,'1. Samenvatting'!$G$16:$N$20,3,FALSE),IF(C77='1. Samenvatting'!$J$9,VLOOKUP('2. Kostprijs per beheertype'!D77,'1. Samenvatting'!$G$16:$N$20,4,FALSE),IF(C77='1. Samenvatting'!$K$9,VLOOKUP('2. Kostprijs per beheertype'!D77,'1. Samenvatting'!$G$16:$N$20,5,FALSE),IF(C77='1. Samenvatting'!$L$9,VLOOKUP('2. Kostprijs per beheertype'!D77,'1. Samenvatting'!$G$16:$N$20,6,FALSE),IF(C77='1. Samenvatting'!$M$9,VLOOKUP('2. Kostprijs per beheertype'!D77,'1. Samenvatting'!$G$16:$N$20,7,FALSE),IF(C77='1. Samenvatting'!$N$9,VLOOKUP('2. Kostprijs per beheertype'!D77,'1. Samenvatting'!$G$16:$N$20,8,FALSE),"Nvt")))))))</f>
        <v>Nvt</v>
      </c>
      <c r="G77" s="374">
        <v>6</v>
      </c>
      <c r="H77" s="373">
        <f t="shared" si="2"/>
        <v>0</v>
      </c>
      <c r="I77" s="373">
        <f t="shared" si="3"/>
        <v>0</v>
      </c>
      <c r="J77" s="373"/>
      <c r="K77" s="393"/>
      <c r="L77" s="394"/>
    </row>
    <row r="78" spans="1:12" s="300" customFormat="1" ht="9" x14ac:dyDescent="0.15">
      <c r="A78" s="401" t="s">
        <v>78</v>
      </c>
      <c r="B78" s="401" t="s">
        <v>79</v>
      </c>
      <c r="C78" s="379" t="s">
        <v>16</v>
      </c>
      <c r="D78" s="380">
        <f>IF(C78='4. Beheertypen complexiteit'!$C$6,VLOOKUP('2. Kostprijs per beheertype'!A78,'4. Beheertypen complexiteit'!$A$8:$I$59,3,FALSE),IF(C78='4. Beheertypen complexiteit'!$D$6,VLOOKUP('2. Kostprijs per beheertype'!A78,'4. Beheertypen complexiteit'!$A$8:$I$59,4,FALSE),IF(C78='4. Beheertypen complexiteit'!$E$6,VLOOKUP('2. Kostprijs per beheertype'!A78,'4. Beheertypen complexiteit'!$A$8:$I$59,5,FALSE),IF(C78='4. Beheertypen complexiteit'!$F$6,VLOOKUP('2. Kostprijs per beheertype'!A78,'4. Beheertypen complexiteit'!$A$8:$I$59,6,FALSE),IF(C78='4. Beheertypen complexiteit'!$G$6,VLOOKUP('2. Kostprijs per beheertype'!A78,'4. Beheertypen complexiteit'!$A$8:$I$59,7,FALSE),IF(C78='4. Beheertypen complexiteit'!$H$6,VLOOKUP('2. Kostprijs per beheertype'!A78,'4. Beheertypen complexiteit'!$A$8:$I$59,8,FALSE),IF(C78='4. Beheertypen complexiteit'!$I$6,VLOOKUP('2. Kostprijs per beheertype'!A78,'4. Beheertypen complexiteit'!$A$8:$I$59,9,FALSE),"Nvt")))))))</f>
        <v>3</v>
      </c>
      <c r="E78" s="381">
        <f>IF(C78='1. Samenvatting'!$H$9,VLOOKUP('2. Kostprijs per beheertype'!D78,'1. Samenvatting'!$G$9:$N$15,2,FALSE),IF(C78='1. Samenvatting'!$I$9,VLOOKUP('2. Kostprijs per beheertype'!D78,'1. Samenvatting'!$G$9:$N$15,3),IF(C78='1. Samenvatting'!$J$9,VLOOKUP('2. Kostprijs per beheertype'!D78,'1. Samenvatting'!$G$9:$N$15,4),IF(C78='1. Samenvatting'!$K$9,VLOOKUP('2. Kostprijs per beheertype'!D78,'1. Samenvatting'!$G$9:$N$15,5),IF(C78='1. Samenvatting'!$L$9,VLOOKUP('2. Kostprijs per beheertype'!D78,'1. Samenvatting'!$G$9:$N$15,6),IF(C78='1. Samenvatting'!$M$9,VLOOKUP('2. Kostprijs per beheertype'!D78,'1. Samenvatting'!$G$9:$N$15,7),IF(C78='1. Samenvatting'!$N$9,VLOOKUP('2. Kostprijs per beheertype'!D78,'1. Samenvatting'!$G$9:$N$15,8),"Nvt")))))))</f>
        <v>76.345446582624135</v>
      </c>
      <c r="F78" s="381">
        <f>IF(C78='1. Samenvatting'!$H$9,VLOOKUP('2. Kostprijs per beheertype'!D78,'1. Samenvatting'!$G$16:$N$20,2,FALSE),IF(C78='1. Samenvatting'!$I$9,VLOOKUP('2. Kostprijs per beheertype'!D78,'1. Samenvatting'!$G$16:$N$20,3,FALSE),IF(C78='1. Samenvatting'!$J$9,VLOOKUP('2. Kostprijs per beheertype'!D78,'1. Samenvatting'!$G$16:$N$20,4,FALSE),IF(C78='1. Samenvatting'!$K$9,VLOOKUP('2. Kostprijs per beheertype'!D78,'1. Samenvatting'!$G$16:$N$20,5,FALSE),IF(C78='1. Samenvatting'!$L$9,VLOOKUP('2. Kostprijs per beheertype'!D78,'1. Samenvatting'!$G$16:$N$20,6,FALSE),IF(C78='1. Samenvatting'!$M$9,VLOOKUP('2. Kostprijs per beheertype'!D78,'1. Samenvatting'!$G$16:$N$20,7,FALSE),IF(C78='1. Samenvatting'!$N$9,VLOOKUP('2. Kostprijs per beheertype'!D78,'1. Samenvatting'!$G$16:$N$20,8,FALSE),"Nvt")))))))</f>
        <v>76.345446582624135</v>
      </c>
      <c r="G78" s="382">
        <v>12</v>
      </c>
      <c r="H78" s="381">
        <f t="shared" si="2"/>
        <v>6.3621205485520109</v>
      </c>
      <c r="I78" s="381">
        <f t="shared" si="3"/>
        <v>6.3621205485520109</v>
      </c>
      <c r="J78" s="381"/>
      <c r="K78" s="396"/>
      <c r="L78" s="397"/>
    </row>
    <row r="79" spans="1:12" s="300" customFormat="1" ht="9" x14ac:dyDescent="0.15">
      <c r="A79" s="398" t="s">
        <v>80</v>
      </c>
      <c r="B79" s="398" t="s">
        <v>81</v>
      </c>
      <c r="C79" s="365" t="s">
        <v>19</v>
      </c>
      <c r="D79" s="366">
        <f>IF(C79='4. Beheertypen complexiteit'!$C$6,VLOOKUP('2. Kostprijs per beheertype'!A79,'4. Beheertypen complexiteit'!$A$8:$I$59,3,FALSE),IF(C79='4. Beheertypen complexiteit'!$D$6,VLOOKUP('2. Kostprijs per beheertype'!A79,'4. Beheertypen complexiteit'!$A$8:$I$59,4,FALSE),IF(C79='4. Beheertypen complexiteit'!$E$6,VLOOKUP('2. Kostprijs per beheertype'!A79,'4. Beheertypen complexiteit'!$A$8:$I$59,5,FALSE),IF(C79='4. Beheertypen complexiteit'!$F$6,VLOOKUP('2. Kostprijs per beheertype'!A79,'4. Beheertypen complexiteit'!$A$8:$I$59,6,FALSE),IF(C79='4. Beheertypen complexiteit'!$G$6,VLOOKUP('2. Kostprijs per beheertype'!A79,'4. Beheertypen complexiteit'!$A$8:$I$59,7,FALSE),IF(C79='4. Beheertypen complexiteit'!$H$6,VLOOKUP('2. Kostprijs per beheertype'!A79,'4. Beheertypen complexiteit'!$A$8:$I$59,8,FALSE),IF(C79='4. Beheertypen complexiteit'!$I$6,VLOOKUP('2. Kostprijs per beheertype'!A79,'4. Beheertypen complexiteit'!$A$8:$I$59,9,FALSE),"Nvt")))))))</f>
        <v>2</v>
      </c>
      <c r="E79" s="367">
        <f>IF(C79='1. Samenvatting'!$H$9,VLOOKUP('2. Kostprijs per beheertype'!D79,'1. Samenvatting'!$G$9:$N$15,2,FALSE),IF(C79='1. Samenvatting'!$I$9,VLOOKUP('2. Kostprijs per beheertype'!D79,'1. Samenvatting'!$G$9:$N$15,3),IF(C79='1. Samenvatting'!$J$9,VLOOKUP('2. Kostprijs per beheertype'!D79,'1. Samenvatting'!$G$9:$N$15,4),IF(C79='1. Samenvatting'!$K$9,VLOOKUP('2. Kostprijs per beheertype'!D79,'1. Samenvatting'!$G$9:$N$15,5),IF(C79='1. Samenvatting'!$L$9,VLOOKUP('2. Kostprijs per beheertype'!D79,'1. Samenvatting'!$G$9:$N$15,6),IF(C79='1. Samenvatting'!$M$9,VLOOKUP('2. Kostprijs per beheertype'!D79,'1. Samenvatting'!$G$9:$N$15,7),IF(C79='1. Samenvatting'!$N$9,VLOOKUP('2. Kostprijs per beheertype'!D79,'1. Samenvatting'!$G$9:$N$15,8),"Nvt")))))))</f>
        <v>55.738852766567376</v>
      </c>
      <c r="F79" s="367">
        <f>IF(C79='1. Samenvatting'!$H$9,VLOOKUP('2. Kostprijs per beheertype'!D79,'1. Samenvatting'!$G$16:$N$20,2,FALSE),IF(C79='1. Samenvatting'!$I$9,VLOOKUP('2. Kostprijs per beheertype'!D79,'1. Samenvatting'!$G$16:$N$20,3,FALSE),IF(C79='1. Samenvatting'!$J$9,VLOOKUP('2. Kostprijs per beheertype'!D79,'1. Samenvatting'!$G$16:$N$20,4,FALSE),IF(C79='1. Samenvatting'!$K$9,VLOOKUP('2. Kostprijs per beheertype'!D79,'1. Samenvatting'!$G$16:$N$20,5,FALSE),IF(C79='1. Samenvatting'!$L$9,VLOOKUP('2. Kostprijs per beheertype'!D79,'1. Samenvatting'!$G$16:$N$20,6,FALSE),IF(C79='1. Samenvatting'!$M$9,VLOOKUP('2. Kostprijs per beheertype'!D79,'1. Samenvatting'!$G$16:$N$20,7,FALSE),IF(C79='1. Samenvatting'!$N$9,VLOOKUP('2. Kostprijs per beheertype'!D79,'1. Samenvatting'!$G$16:$N$20,8,FALSE),"Nvt")))))))</f>
        <v>66.622547266567381</v>
      </c>
      <c r="G79" s="368">
        <v>6</v>
      </c>
      <c r="H79" s="367">
        <f t="shared" si="2"/>
        <v>9.2898087944278966</v>
      </c>
      <c r="I79" s="367">
        <f t="shared" si="3"/>
        <v>11.103757877761231</v>
      </c>
      <c r="J79" s="367">
        <f>'3. Parameters kostprijsmodel'!$F$36</f>
        <v>3.0089563425755728</v>
      </c>
      <c r="K79" s="361">
        <f>SUM(H79:H82)+J79</f>
        <v>34.018147782161762</v>
      </c>
      <c r="L79" s="362">
        <f>SUM(I79:I82)+J79</f>
        <v>40.674483770257005</v>
      </c>
    </row>
    <row r="80" spans="1:12" s="300" customFormat="1" ht="9" x14ac:dyDescent="0.15">
      <c r="A80" s="400" t="s">
        <v>80</v>
      </c>
      <c r="B80" s="400" t="s">
        <v>81</v>
      </c>
      <c r="C80" s="389" t="s">
        <v>25</v>
      </c>
      <c r="D80" s="390">
        <f>IF(C80='4. Beheertypen complexiteit'!$C$6,VLOOKUP('2. Kostprijs per beheertype'!A80,'4. Beheertypen complexiteit'!$A$8:$I$59,3,FALSE),IF(C80='4. Beheertypen complexiteit'!$D$6,VLOOKUP('2. Kostprijs per beheertype'!A80,'4. Beheertypen complexiteit'!$A$8:$I$59,4,FALSE),IF(C80='4. Beheertypen complexiteit'!$E$6,VLOOKUP('2. Kostprijs per beheertype'!A80,'4. Beheertypen complexiteit'!$A$8:$I$59,5,FALSE),IF(C80='4. Beheertypen complexiteit'!$F$6,VLOOKUP('2. Kostprijs per beheertype'!A80,'4. Beheertypen complexiteit'!$A$8:$I$59,6,FALSE),IF(C80='4. Beheertypen complexiteit'!$G$6,VLOOKUP('2. Kostprijs per beheertype'!A80,'4. Beheertypen complexiteit'!$A$8:$I$59,7,FALSE),IF(C80='4. Beheertypen complexiteit'!$H$6,VLOOKUP('2. Kostprijs per beheertype'!A80,'4. Beheertypen complexiteit'!$A$8:$I$59,8,FALSE),IF(C80='4. Beheertypen complexiteit'!$I$6,VLOOKUP('2. Kostprijs per beheertype'!A80,'4. Beheertypen complexiteit'!$A$8:$I$59,9,FALSE),"Nvt")))))))</f>
        <v>1</v>
      </c>
      <c r="E80" s="391">
        <f>IF(C80='1. Samenvatting'!$H$9,VLOOKUP('2. Kostprijs per beheertype'!D80,'1. Samenvatting'!$G$9:$N$15,2,FALSE),IF(C80='1. Samenvatting'!$I$9,VLOOKUP('2. Kostprijs per beheertype'!D80,'1. Samenvatting'!$G$9:$N$15,3),IF(C80='1. Samenvatting'!$J$9,VLOOKUP('2. Kostprijs per beheertype'!D80,'1. Samenvatting'!$G$9:$N$15,4),IF(C80='1. Samenvatting'!$K$9,VLOOKUP('2. Kostprijs per beheertype'!D80,'1. Samenvatting'!$G$9:$N$15,5),IF(C80='1. Samenvatting'!$L$9,VLOOKUP('2. Kostprijs per beheertype'!D80,'1. Samenvatting'!$G$9:$N$15,6),IF(C80='1. Samenvatting'!$M$9,VLOOKUP('2. Kostprijs per beheertype'!D80,'1. Samenvatting'!$G$9:$N$15,7),IF(C80='1. Samenvatting'!$N$9,VLOOKUP('2. Kostprijs per beheertype'!D80,'1. Samenvatting'!$G$9:$N$15,8),"Nvt")))))))</f>
        <v>68.232299301925053</v>
      </c>
      <c r="F80" s="391">
        <f>IF(C80='1. Samenvatting'!$H$9,VLOOKUP('2. Kostprijs per beheertype'!D80,'1. Samenvatting'!$G$16:$N$20,2,FALSE),IF(C80='1. Samenvatting'!$I$9,VLOOKUP('2. Kostprijs per beheertype'!D80,'1. Samenvatting'!$G$16:$N$20,3,FALSE),IF(C80='1. Samenvatting'!$J$9,VLOOKUP('2. Kostprijs per beheertype'!D80,'1. Samenvatting'!$G$16:$N$20,4,FALSE),IF(C80='1. Samenvatting'!$K$9,VLOOKUP('2. Kostprijs per beheertype'!D80,'1. Samenvatting'!$G$16:$N$20,5,FALSE),IF(C80='1. Samenvatting'!$L$9,VLOOKUP('2. Kostprijs per beheertype'!D80,'1. Samenvatting'!$G$16:$N$20,6,FALSE),IF(C80='1. Samenvatting'!$M$9,VLOOKUP('2. Kostprijs per beheertype'!D80,'1. Samenvatting'!$G$16:$N$20,7,FALSE),IF(C80='1. Samenvatting'!$N$9,VLOOKUP('2. Kostprijs per beheertype'!D80,'1. Samenvatting'!$G$16:$N$20,8,FALSE),"Nvt")))))))</f>
        <v>97.286620730496509</v>
      </c>
      <c r="G80" s="392">
        <v>6</v>
      </c>
      <c r="H80" s="391">
        <f t="shared" si="2"/>
        <v>11.372049883654176</v>
      </c>
      <c r="I80" s="391">
        <f t="shared" si="3"/>
        <v>16.214436788416084</v>
      </c>
      <c r="J80" s="391"/>
      <c r="K80" s="393"/>
      <c r="L80" s="394"/>
    </row>
    <row r="81" spans="1:12" s="300" customFormat="1" ht="9" x14ac:dyDescent="0.15">
      <c r="A81" s="400" t="s">
        <v>80</v>
      </c>
      <c r="B81" s="400" t="s">
        <v>81</v>
      </c>
      <c r="C81" s="371" t="s">
        <v>155</v>
      </c>
      <c r="D81" s="372" t="str">
        <f>IF(C81='4. Beheertypen complexiteit'!$C$6,VLOOKUP('2. Kostprijs per beheertype'!A81,'4. Beheertypen complexiteit'!$A$8:$I$59,3,FALSE),IF(C81='4. Beheertypen complexiteit'!$D$6,VLOOKUP('2. Kostprijs per beheertype'!A81,'4. Beheertypen complexiteit'!$A$8:$I$59,4,FALSE),IF(C81='4. Beheertypen complexiteit'!$E$6,VLOOKUP('2. Kostprijs per beheertype'!A81,'4. Beheertypen complexiteit'!$A$8:$I$59,5,FALSE),IF(C81='4. Beheertypen complexiteit'!$F$6,VLOOKUP('2. Kostprijs per beheertype'!A81,'4. Beheertypen complexiteit'!$A$8:$I$59,6,FALSE),IF(C81='4. Beheertypen complexiteit'!$G$6,VLOOKUP('2. Kostprijs per beheertype'!A81,'4. Beheertypen complexiteit'!$A$8:$I$59,7,FALSE),IF(C81='4. Beheertypen complexiteit'!$H$6,VLOOKUP('2. Kostprijs per beheertype'!A81,'4. Beheertypen complexiteit'!$A$8:$I$59,8,FALSE),IF(C81='4. Beheertypen complexiteit'!$I$6,VLOOKUP('2. Kostprijs per beheertype'!A81,'4. Beheertypen complexiteit'!$A$8:$I$59,9,FALSE),"Nvt")))))))</f>
        <v>Nvt</v>
      </c>
      <c r="E81" s="373" t="str">
        <f>IF(C81='1. Samenvatting'!$H$9,VLOOKUP('2. Kostprijs per beheertype'!D81,'1. Samenvatting'!$G$9:$N$15,2,FALSE),IF(C81='1. Samenvatting'!$I$9,VLOOKUP('2. Kostprijs per beheertype'!D81,'1. Samenvatting'!$G$9:$N$15,3),IF(C81='1. Samenvatting'!$J$9,VLOOKUP('2. Kostprijs per beheertype'!D81,'1. Samenvatting'!$G$9:$N$15,4),IF(C81='1. Samenvatting'!$K$9,VLOOKUP('2. Kostprijs per beheertype'!D81,'1. Samenvatting'!$G$9:$N$15,5),IF(C81='1. Samenvatting'!$L$9,VLOOKUP('2. Kostprijs per beheertype'!D81,'1. Samenvatting'!$G$9:$N$15,6),IF(C81='1. Samenvatting'!$M$9,VLOOKUP('2. Kostprijs per beheertype'!D81,'1. Samenvatting'!$G$9:$N$15,7),IF(C81='1. Samenvatting'!$N$9,VLOOKUP('2. Kostprijs per beheertype'!D81,'1. Samenvatting'!$G$9:$N$15,8),"Nvt")))))))</f>
        <v>Nvt</v>
      </c>
      <c r="F81" s="373" t="str">
        <f>IF(C81='1. Samenvatting'!$H$9,VLOOKUP('2. Kostprijs per beheertype'!D81,'1. Samenvatting'!$G$16:$N$20,2,FALSE),IF(C81='1. Samenvatting'!$I$9,VLOOKUP('2. Kostprijs per beheertype'!D81,'1. Samenvatting'!$G$16:$N$20,3,FALSE),IF(C81='1. Samenvatting'!$J$9,VLOOKUP('2. Kostprijs per beheertype'!D81,'1. Samenvatting'!$G$16:$N$20,4,FALSE),IF(C81='1. Samenvatting'!$K$9,VLOOKUP('2. Kostprijs per beheertype'!D81,'1. Samenvatting'!$G$16:$N$20,5,FALSE),IF(C81='1. Samenvatting'!$L$9,VLOOKUP('2. Kostprijs per beheertype'!D81,'1. Samenvatting'!$G$16:$N$20,6,FALSE),IF(C81='1. Samenvatting'!$M$9,VLOOKUP('2. Kostprijs per beheertype'!D81,'1. Samenvatting'!$G$16:$N$20,7,FALSE),IF(C81='1. Samenvatting'!$N$9,VLOOKUP('2. Kostprijs per beheertype'!D81,'1. Samenvatting'!$G$16:$N$20,8,FALSE),"Nvt")))))))</f>
        <v>Nvt</v>
      </c>
      <c r="G81" s="374">
        <v>6</v>
      </c>
      <c r="H81" s="373">
        <f t="shared" si="2"/>
        <v>0</v>
      </c>
      <c r="I81" s="373">
        <f t="shared" si="3"/>
        <v>0</v>
      </c>
      <c r="J81" s="373"/>
      <c r="K81" s="393"/>
      <c r="L81" s="394"/>
    </row>
    <row r="82" spans="1:12" s="300" customFormat="1" ht="9" x14ac:dyDescent="0.15">
      <c r="A82" s="401" t="s">
        <v>80</v>
      </c>
      <c r="B82" s="401" t="s">
        <v>81</v>
      </c>
      <c r="C82" s="379" t="s">
        <v>16</v>
      </c>
      <c r="D82" s="380">
        <f>IF(C82='4. Beheertypen complexiteit'!$C$6,VLOOKUP('2. Kostprijs per beheertype'!A82,'4. Beheertypen complexiteit'!$A$8:$I$59,3,FALSE),IF(C82='4. Beheertypen complexiteit'!$D$6,VLOOKUP('2. Kostprijs per beheertype'!A82,'4. Beheertypen complexiteit'!$A$8:$I$59,4,FALSE),IF(C82='4. Beheertypen complexiteit'!$E$6,VLOOKUP('2. Kostprijs per beheertype'!A82,'4. Beheertypen complexiteit'!$A$8:$I$59,5,FALSE),IF(C82='4. Beheertypen complexiteit'!$F$6,VLOOKUP('2. Kostprijs per beheertype'!A82,'4. Beheertypen complexiteit'!$A$8:$I$59,6,FALSE),IF(C82='4. Beheertypen complexiteit'!$G$6,VLOOKUP('2. Kostprijs per beheertype'!A82,'4. Beheertypen complexiteit'!$A$8:$I$59,7,FALSE),IF(C82='4. Beheertypen complexiteit'!$H$6,VLOOKUP('2. Kostprijs per beheertype'!A82,'4. Beheertypen complexiteit'!$A$8:$I$59,8,FALSE),IF(C82='4. Beheertypen complexiteit'!$I$6,VLOOKUP('2. Kostprijs per beheertype'!A82,'4. Beheertypen complexiteit'!$A$8:$I$59,9,FALSE),"Nvt")))))))</f>
        <v>2</v>
      </c>
      <c r="E82" s="381">
        <f>IF(C82='1. Samenvatting'!$H$9,VLOOKUP('2. Kostprijs per beheertype'!D82,'1. Samenvatting'!$G$9:$N$15,2,FALSE),IF(C82='1. Samenvatting'!$I$9,VLOOKUP('2. Kostprijs per beheertype'!D82,'1. Samenvatting'!$G$9:$N$15,3),IF(C82='1. Samenvatting'!$J$9,VLOOKUP('2. Kostprijs per beheertype'!D82,'1. Samenvatting'!$G$9:$N$15,4),IF(C82='1. Samenvatting'!$K$9,VLOOKUP('2. Kostprijs per beheertype'!D82,'1. Samenvatting'!$G$9:$N$15,5),IF(C82='1. Samenvatting'!$L$9,VLOOKUP('2. Kostprijs per beheertype'!D82,'1. Samenvatting'!$G$9:$N$15,6),IF(C82='1. Samenvatting'!$M$9,VLOOKUP('2. Kostprijs per beheertype'!D82,'1. Samenvatting'!$G$9:$N$15,7),IF(C82='1. Samenvatting'!$N$9,VLOOKUP('2. Kostprijs per beheertype'!D82,'1. Samenvatting'!$G$9:$N$15,8),"Nvt")))))))</f>
        <v>124.16799313804943</v>
      </c>
      <c r="F82" s="381">
        <f>IF(C82='1. Samenvatting'!$H$9,VLOOKUP('2. Kostprijs per beheertype'!D82,'1. Samenvatting'!$G$16:$N$20,2,FALSE),IF(C82='1. Samenvatting'!$I$9,VLOOKUP('2. Kostprijs per beheertype'!D82,'1. Samenvatting'!$G$16:$N$20,3,FALSE),IF(C82='1. Samenvatting'!$J$9,VLOOKUP('2. Kostprijs per beheertype'!D82,'1. Samenvatting'!$G$16:$N$20,4,FALSE),IF(C82='1. Samenvatting'!$K$9,VLOOKUP('2. Kostprijs per beheertype'!D82,'1. Samenvatting'!$G$16:$N$20,5,FALSE),IF(C82='1. Samenvatting'!$L$9,VLOOKUP('2. Kostprijs per beheertype'!D82,'1. Samenvatting'!$G$16:$N$20,6,FALSE),IF(C82='1. Samenvatting'!$M$9,VLOOKUP('2. Kostprijs per beheertype'!D82,'1. Samenvatting'!$G$16:$N$20,7,FALSE),IF(C82='1. Samenvatting'!$N$9,VLOOKUP('2. Kostprijs per beheertype'!D82,'1. Samenvatting'!$G$16:$N$20,8,FALSE),"Nvt")))))))</f>
        <v>124.16799313804943</v>
      </c>
      <c r="G82" s="382">
        <v>12</v>
      </c>
      <c r="H82" s="381">
        <f t="shared" si="2"/>
        <v>10.347332761504118</v>
      </c>
      <c r="I82" s="381">
        <f t="shared" si="3"/>
        <v>10.347332761504118</v>
      </c>
      <c r="J82" s="381"/>
      <c r="K82" s="396"/>
      <c r="L82" s="397"/>
    </row>
    <row r="83" spans="1:12" s="300" customFormat="1" ht="9" x14ac:dyDescent="0.15">
      <c r="A83" s="407" t="s">
        <v>82</v>
      </c>
      <c r="B83" s="407" t="s">
        <v>83</v>
      </c>
      <c r="C83" s="365" t="s">
        <v>19</v>
      </c>
      <c r="D83" s="366">
        <f>IF(C83='4. Beheertypen complexiteit'!$C$6,VLOOKUP('2. Kostprijs per beheertype'!A83,'4. Beheertypen complexiteit'!$A$8:$I$59,3,FALSE),IF(C83='4. Beheertypen complexiteit'!$D$6,VLOOKUP('2. Kostprijs per beheertype'!A83,'4. Beheertypen complexiteit'!$A$8:$I$59,4,FALSE),IF(C83='4. Beheertypen complexiteit'!$E$6,VLOOKUP('2. Kostprijs per beheertype'!A83,'4. Beheertypen complexiteit'!$A$8:$I$59,5,FALSE),IF(C83='4. Beheertypen complexiteit'!$F$6,VLOOKUP('2. Kostprijs per beheertype'!A83,'4. Beheertypen complexiteit'!$A$8:$I$59,6,FALSE),IF(C83='4. Beheertypen complexiteit'!$G$6,VLOOKUP('2. Kostprijs per beheertype'!A83,'4. Beheertypen complexiteit'!$A$8:$I$59,7,FALSE),IF(C83='4. Beheertypen complexiteit'!$H$6,VLOOKUP('2. Kostprijs per beheertype'!A83,'4. Beheertypen complexiteit'!$A$8:$I$59,8,FALSE),IF(C83='4. Beheertypen complexiteit'!$I$6,VLOOKUP('2. Kostprijs per beheertype'!A83,'4. Beheertypen complexiteit'!$A$8:$I$59,9,FALSE),"Nvt")))))))</f>
        <v>2</v>
      </c>
      <c r="E83" s="367">
        <f>IF(C83='1. Samenvatting'!$H$9,VLOOKUP('2. Kostprijs per beheertype'!D83,'1. Samenvatting'!$G$9:$N$15,2,FALSE),IF(C83='1. Samenvatting'!$I$9,VLOOKUP('2. Kostprijs per beheertype'!D83,'1. Samenvatting'!$G$9:$N$15,3),IF(C83='1. Samenvatting'!$J$9,VLOOKUP('2. Kostprijs per beheertype'!D83,'1. Samenvatting'!$G$9:$N$15,4),IF(C83='1. Samenvatting'!$K$9,VLOOKUP('2. Kostprijs per beheertype'!D83,'1. Samenvatting'!$G$9:$N$15,5),IF(C83='1. Samenvatting'!$L$9,VLOOKUP('2. Kostprijs per beheertype'!D83,'1. Samenvatting'!$G$9:$N$15,6),IF(C83='1. Samenvatting'!$M$9,VLOOKUP('2. Kostprijs per beheertype'!D83,'1. Samenvatting'!$G$9:$N$15,7),IF(C83='1. Samenvatting'!$N$9,VLOOKUP('2. Kostprijs per beheertype'!D83,'1. Samenvatting'!$G$9:$N$15,8),"Nvt")))))))</f>
        <v>55.738852766567376</v>
      </c>
      <c r="F83" s="367">
        <f>IF(C83='1. Samenvatting'!$H$9,VLOOKUP('2. Kostprijs per beheertype'!D83,'1. Samenvatting'!$G$16:$N$20,2,FALSE),IF(C83='1. Samenvatting'!$I$9,VLOOKUP('2. Kostprijs per beheertype'!D83,'1. Samenvatting'!$G$16:$N$20,3,FALSE),IF(C83='1. Samenvatting'!$J$9,VLOOKUP('2. Kostprijs per beheertype'!D83,'1. Samenvatting'!$G$16:$N$20,4,FALSE),IF(C83='1. Samenvatting'!$K$9,VLOOKUP('2. Kostprijs per beheertype'!D83,'1. Samenvatting'!$G$16:$N$20,5,FALSE),IF(C83='1. Samenvatting'!$L$9,VLOOKUP('2. Kostprijs per beheertype'!D83,'1. Samenvatting'!$G$16:$N$20,6,FALSE),IF(C83='1. Samenvatting'!$M$9,VLOOKUP('2. Kostprijs per beheertype'!D83,'1. Samenvatting'!$G$16:$N$20,7,FALSE),IF(C83='1. Samenvatting'!$N$9,VLOOKUP('2. Kostprijs per beheertype'!D83,'1. Samenvatting'!$G$16:$N$20,8,FALSE),"Nvt")))))))</f>
        <v>66.622547266567381</v>
      </c>
      <c r="G83" s="368">
        <v>6</v>
      </c>
      <c r="H83" s="367">
        <f t="shared" si="2"/>
        <v>9.2898087944278966</v>
      </c>
      <c r="I83" s="367">
        <f t="shared" si="3"/>
        <v>11.103757877761231</v>
      </c>
      <c r="J83" s="367">
        <f>'3. Parameters kostprijsmodel'!$F$36</f>
        <v>3.0089563425755728</v>
      </c>
      <c r="K83" s="361">
        <f>SUM(H83:H85)+J83</f>
        <v>44.277103753284379</v>
      </c>
      <c r="L83" s="362">
        <f>SUM(I83:I85)+J83</f>
        <v>50.933439741379622</v>
      </c>
    </row>
    <row r="84" spans="1:12" s="300" customFormat="1" ht="9" x14ac:dyDescent="0.15">
      <c r="A84" s="412" t="s">
        <v>82</v>
      </c>
      <c r="B84" s="412" t="s">
        <v>83</v>
      </c>
      <c r="C84" s="389" t="s">
        <v>25</v>
      </c>
      <c r="D84" s="390">
        <f>IF(C84='4. Beheertypen complexiteit'!$C$6,VLOOKUP('2. Kostprijs per beheertype'!A84,'4. Beheertypen complexiteit'!$A$8:$I$59,3,FALSE),IF(C84='4. Beheertypen complexiteit'!$D$6,VLOOKUP('2. Kostprijs per beheertype'!A84,'4. Beheertypen complexiteit'!$A$8:$I$59,4,FALSE),IF(C84='4. Beheertypen complexiteit'!$E$6,VLOOKUP('2. Kostprijs per beheertype'!A84,'4. Beheertypen complexiteit'!$A$8:$I$59,5,FALSE),IF(C84='4. Beheertypen complexiteit'!$F$6,VLOOKUP('2. Kostprijs per beheertype'!A84,'4. Beheertypen complexiteit'!$A$8:$I$59,6,FALSE),IF(C84='4. Beheertypen complexiteit'!$G$6,VLOOKUP('2. Kostprijs per beheertype'!A84,'4. Beheertypen complexiteit'!$A$8:$I$59,7,FALSE),IF(C84='4. Beheertypen complexiteit'!$H$6,VLOOKUP('2. Kostprijs per beheertype'!A84,'4. Beheertypen complexiteit'!$A$8:$I$59,8,FALSE),IF(C84='4. Beheertypen complexiteit'!$I$6,VLOOKUP('2. Kostprijs per beheertype'!A84,'4. Beheertypen complexiteit'!$A$8:$I$59,9,FALSE),"Nvt")))))))</f>
        <v>1</v>
      </c>
      <c r="E84" s="391">
        <f>IF(C84='1. Samenvatting'!$H$9,VLOOKUP('2. Kostprijs per beheertype'!D84,'1. Samenvatting'!$G$9:$N$15,2,FALSE),IF(C84='1. Samenvatting'!$I$9,VLOOKUP('2. Kostprijs per beheertype'!D84,'1. Samenvatting'!$G$9:$N$15,3),IF(C84='1. Samenvatting'!$J$9,VLOOKUP('2. Kostprijs per beheertype'!D84,'1. Samenvatting'!$G$9:$N$15,4),IF(C84='1. Samenvatting'!$K$9,VLOOKUP('2. Kostprijs per beheertype'!D84,'1. Samenvatting'!$G$9:$N$15,5),IF(C84='1. Samenvatting'!$L$9,VLOOKUP('2. Kostprijs per beheertype'!D84,'1. Samenvatting'!$G$9:$N$15,6),IF(C84='1. Samenvatting'!$M$9,VLOOKUP('2. Kostprijs per beheertype'!D84,'1. Samenvatting'!$G$9:$N$15,7),IF(C84='1. Samenvatting'!$N$9,VLOOKUP('2. Kostprijs per beheertype'!D84,'1. Samenvatting'!$G$9:$N$15,8),"Nvt")))))))</f>
        <v>68.232299301925053</v>
      </c>
      <c r="F84" s="391">
        <f>IF(C84='1. Samenvatting'!$H$9,VLOOKUP('2. Kostprijs per beheertype'!D84,'1. Samenvatting'!$G$16:$N$20,2,FALSE),IF(C84='1. Samenvatting'!$I$9,VLOOKUP('2. Kostprijs per beheertype'!D84,'1. Samenvatting'!$G$16:$N$20,3,FALSE),IF(C84='1. Samenvatting'!$J$9,VLOOKUP('2. Kostprijs per beheertype'!D84,'1. Samenvatting'!$G$16:$N$20,4,FALSE),IF(C84='1. Samenvatting'!$K$9,VLOOKUP('2. Kostprijs per beheertype'!D84,'1. Samenvatting'!$G$16:$N$20,5,FALSE),IF(C84='1. Samenvatting'!$L$9,VLOOKUP('2. Kostprijs per beheertype'!D84,'1. Samenvatting'!$G$16:$N$20,6,FALSE),IF(C84='1. Samenvatting'!$M$9,VLOOKUP('2. Kostprijs per beheertype'!D84,'1. Samenvatting'!$G$16:$N$20,7,FALSE),IF(C84='1. Samenvatting'!$N$9,VLOOKUP('2. Kostprijs per beheertype'!D84,'1. Samenvatting'!$G$16:$N$20,8,FALSE),"Nvt")))))))</f>
        <v>97.286620730496509</v>
      </c>
      <c r="G84" s="392">
        <v>6</v>
      </c>
      <c r="H84" s="391">
        <f t="shared" si="2"/>
        <v>11.372049883654176</v>
      </c>
      <c r="I84" s="391">
        <f t="shared" si="3"/>
        <v>16.214436788416084</v>
      </c>
      <c r="J84" s="391"/>
      <c r="K84" s="393"/>
      <c r="L84" s="394"/>
    </row>
    <row r="85" spans="1:12" s="300" customFormat="1" ht="9" x14ac:dyDescent="0.15">
      <c r="A85" s="413" t="s">
        <v>82</v>
      </c>
      <c r="B85" s="413" t="s">
        <v>83</v>
      </c>
      <c r="C85" s="379" t="s">
        <v>16</v>
      </c>
      <c r="D85" s="380">
        <f>IF(C85='4. Beheertypen complexiteit'!$C$6,VLOOKUP('2. Kostprijs per beheertype'!A85,'4. Beheertypen complexiteit'!$A$8:$I$59,3,FALSE),IF(C85='4. Beheertypen complexiteit'!$D$6,VLOOKUP('2. Kostprijs per beheertype'!A85,'4. Beheertypen complexiteit'!$A$8:$I$59,4,FALSE),IF(C85='4. Beheertypen complexiteit'!$E$6,VLOOKUP('2. Kostprijs per beheertype'!A85,'4. Beheertypen complexiteit'!$A$8:$I$59,5,FALSE),IF(C85='4. Beheertypen complexiteit'!$F$6,VLOOKUP('2. Kostprijs per beheertype'!A85,'4. Beheertypen complexiteit'!$A$8:$I$59,6,FALSE),IF(C85='4. Beheertypen complexiteit'!$G$6,VLOOKUP('2. Kostprijs per beheertype'!A85,'4. Beheertypen complexiteit'!$A$8:$I$59,7,FALSE),IF(C85='4. Beheertypen complexiteit'!$H$6,VLOOKUP('2. Kostprijs per beheertype'!A85,'4. Beheertypen complexiteit'!$A$8:$I$59,8,FALSE),IF(C85='4. Beheertypen complexiteit'!$I$6,VLOOKUP('2. Kostprijs per beheertype'!A85,'4. Beheertypen complexiteit'!$A$8:$I$59,9,FALSE),"Nvt")))))))</f>
        <v>1</v>
      </c>
      <c r="E85" s="381">
        <f>IF(C85='1. Samenvatting'!$H$9,VLOOKUP('2. Kostprijs per beheertype'!D85,'1. Samenvatting'!$G$9:$N$15,2,FALSE),IF(C85='1. Samenvatting'!$I$9,VLOOKUP('2. Kostprijs per beheertype'!D85,'1. Samenvatting'!$G$9:$N$15,3),IF(C85='1. Samenvatting'!$J$9,VLOOKUP('2. Kostprijs per beheertype'!D85,'1. Samenvatting'!$G$9:$N$15,4),IF(C85='1. Samenvatting'!$K$9,VLOOKUP('2. Kostprijs per beheertype'!D85,'1. Samenvatting'!$G$9:$N$15,5),IF(C85='1. Samenvatting'!$L$9,VLOOKUP('2. Kostprijs per beheertype'!D85,'1. Samenvatting'!$G$9:$N$15,6),IF(C85='1. Samenvatting'!$M$9,VLOOKUP('2. Kostprijs per beheertype'!D85,'1. Samenvatting'!$G$9:$N$15,7),IF(C85='1. Samenvatting'!$N$9,VLOOKUP('2. Kostprijs per beheertype'!D85,'1. Samenvatting'!$G$9:$N$15,8),"Nvt")))))))</f>
        <v>247.27546479152085</v>
      </c>
      <c r="F85" s="381">
        <f>IF(C85='1. Samenvatting'!$H$9,VLOOKUP('2. Kostprijs per beheertype'!D85,'1. Samenvatting'!$G$16:$N$20,2,FALSE),IF(C85='1. Samenvatting'!$I$9,VLOOKUP('2. Kostprijs per beheertype'!D85,'1. Samenvatting'!$G$16:$N$20,3,FALSE),IF(C85='1. Samenvatting'!$J$9,VLOOKUP('2. Kostprijs per beheertype'!D85,'1. Samenvatting'!$G$16:$N$20,4,FALSE),IF(C85='1. Samenvatting'!$K$9,VLOOKUP('2. Kostprijs per beheertype'!D85,'1. Samenvatting'!$G$16:$N$20,5,FALSE),IF(C85='1. Samenvatting'!$L$9,VLOOKUP('2. Kostprijs per beheertype'!D85,'1. Samenvatting'!$G$16:$N$20,6,FALSE),IF(C85='1. Samenvatting'!$M$9,VLOOKUP('2. Kostprijs per beheertype'!D85,'1. Samenvatting'!$G$16:$N$20,7,FALSE),IF(C85='1. Samenvatting'!$N$9,VLOOKUP('2. Kostprijs per beheertype'!D85,'1. Samenvatting'!$G$16:$N$20,8,FALSE),"Nvt")))))))</f>
        <v>247.27546479152085</v>
      </c>
      <c r="G85" s="382">
        <v>12</v>
      </c>
      <c r="H85" s="381">
        <f t="shared" si="2"/>
        <v>20.606288732626737</v>
      </c>
      <c r="I85" s="381">
        <f t="shared" si="3"/>
        <v>20.606288732626737</v>
      </c>
      <c r="J85" s="381"/>
      <c r="K85" s="396"/>
      <c r="L85" s="397"/>
    </row>
    <row r="86" spans="1:12" s="300" customFormat="1" ht="9" x14ac:dyDescent="0.15">
      <c r="A86" s="398" t="s">
        <v>84</v>
      </c>
      <c r="B86" s="398" t="s">
        <v>85</v>
      </c>
      <c r="C86" s="365" t="s">
        <v>19</v>
      </c>
      <c r="D86" s="366">
        <f>IF(C86='4. Beheertypen complexiteit'!$C$6,VLOOKUP('2. Kostprijs per beheertype'!A86,'4. Beheertypen complexiteit'!$A$8:$I$59,3,FALSE),IF(C86='4. Beheertypen complexiteit'!$D$6,VLOOKUP('2. Kostprijs per beheertype'!A86,'4. Beheertypen complexiteit'!$A$8:$I$59,4,FALSE),IF(C86='4. Beheertypen complexiteit'!$E$6,VLOOKUP('2. Kostprijs per beheertype'!A86,'4. Beheertypen complexiteit'!$A$8:$I$59,5,FALSE),IF(C86='4. Beheertypen complexiteit'!$F$6,VLOOKUP('2. Kostprijs per beheertype'!A86,'4. Beheertypen complexiteit'!$A$8:$I$59,6,FALSE),IF(C86='4. Beheertypen complexiteit'!$G$6,VLOOKUP('2. Kostprijs per beheertype'!A86,'4. Beheertypen complexiteit'!$A$8:$I$59,7,FALSE),IF(C86='4. Beheertypen complexiteit'!$H$6,VLOOKUP('2. Kostprijs per beheertype'!A86,'4. Beheertypen complexiteit'!$A$8:$I$59,8,FALSE),IF(C86='4. Beheertypen complexiteit'!$I$6,VLOOKUP('2. Kostprijs per beheertype'!A86,'4. Beheertypen complexiteit'!$A$8:$I$59,9,FALSE),"Nvt")))))))</f>
        <v>3</v>
      </c>
      <c r="E86" s="367">
        <f>IF(C86='1. Samenvatting'!$H$9,VLOOKUP('2. Kostprijs per beheertype'!D86,'1. Samenvatting'!$G$9:$N$15,2,FALSE),IF(C86='1. Samenvatting'!$I$9,VLOOKUP('2. Kostprijs per beheertype'!D86,'1. Samenvatting'!$G$9:$N$15,3),IF(C86='1. Samenvatting'!$J$9,VLOOKUP('2. Kostprijs per beheertype'!D86,'1. Samenvatting'!$G$9:$N$15,4),IF(C86='1. Samenvatting'!$K$9,VLOOKUP('2. Kostprijs per beheertype'!D86,'1. Samenvatting'!$G$9:$N$15,5),IF(C86='1. Samenvatting'!$L$9,VLOOKUP('2. Kostprijs per beheertype'!D86,'1. Samenvatting'!$G$9:$N$15,6),IF(C86='1. Samenvatting'!$M$9,VLOOKUP('2. Kostprijs per beheertype'!D86,'1. Samenvatting'!$G$9:$N$15,7),IF(C86='1. Samenvatting'!$N$9,VLOOKUP('2. Kostprijs per beheertype'!D86,'1. Samenvatting'!$G$9:$N$15,8),"Nvt")))))))</f>
        <v>43.559801600749353</v>
      </c>
      <c r="F86" s="367">
        <f>IF(C86='1. Samenvatting'!$H$9,VLOOKUP('2. Kostprijs per beheertype'!D86,'1. Samenvatting'!$G$16:$N$20,2,FALSE),IF(C86='1. Samenvatting'!$I$9,VLOOKUP('2. Kostprijs per beheertype'!D86,'1. Samenvatting'!$G$16:$N$20,3,FALSE),IF(C86='1. Samenvatting'!$J$9,VLOOKUP('2. Kostprijs per beheertype'!D86,'1. Samenvatting'!$G$16:$N$20,4,FALSE),IF(C86='1. Samenvatting'!$K$9,VLOOKUP('2. Kostprijs per beheertype'!D86,'1. Samenvatting'!$G$16:$N$20,5,FALSE),IF(C86='1. Samenvatting'!$L$9,VLOOKUP('2. Kostprijs per beheertype'!D86,'1. Samenvatting'!$G$16:$N$20,6,FALSE),IF(C86='1. Samenvatting'!$M$9,VLOOKUP('2. Kostprijs per beheertype'!D86,'1. Samenvatting'!$G$16:$N$20,7,FALSE),IF(C86='1. Samenvatting'!$N$9,VLOOKUP('2. Kostprijs per beheertype'!D86,'1. Samenvatting'!$G$16:$N$20,8,FALSE),"Nvt")))))))</f>
        <v>51.288023660578418</v>
      </c>
      <c r="G86" s="368">
        <v>6</v>
      </c>
      <c r="H86" s="367">
        <f t="shared" si="2"/>
        <v>7.2599669334582257</v>
      </c>
      <c r="I86" s="367">
        <f t="shared" si="3"/>
        <v>8.5480039434297357</v>
      </c>
      <c r="J86" s="367">
        <f>'3. Parameters kostprijsmodel'!$F$36</f>
        <v>3.0089563425755728</v>
      </c>
      <c r="K86" s="361">
        <f>SUM(H86:H90)+J86</f>
        <v>27.996968874170278</v>
      </c>
      <c r="L86" s="362">
        <f>SUM(I86:I90)+J86</f>
        <v>31.172353159782816</v>
      </c>
    </row>
    <row r="87" spans="1:12" s="300" customFormat="1" ht="9" x14ac:dyDescent="0.15">
      <c r="A87" s="400" t="s">
        <v>84</v>
      </c>
      <c r="B87" s="400" t="s">
        <v>85</v>
      </c>
      <c r="C87" s="371" t="s">
        <v>21</v>
      </c>
      <c r="D87" s="372">
        <f>IF(C87='4. Beheertypen complexiteit'!$C$6,VLOOKUP('2. Kostprijs per beheertype'!A87,'4. Beheertypen complexiteit'!$A$8:$I$59,3,FALSE),IF(C87='4. Beheertypen complexiteit'!$D$6,VLOOKUP('2. Kostprijs per beheertype'!A87,'4. Beheertypen complexiteit'!$A$8:$I$59,4,FALSE),IF(C87='4. Beheertypen complexiteit'!$E$6,VLOOKUP('2. Kostprijs per beheertype'!A87,'4. Beheertypen complexiteit'!$A$8:$I$59,5,FALSE),IF(C87='4. Beheertypen complexiteit'!$F$6,VLOOKUP('2. Kostprijs per beheertype'!A87,'4. Beheertypen complexiteit'!$A$8:$I$59,6,FALSE),IF(C87='4. Beheertypen complexiteit'!$G$6,VLOOKUP('2. Kostprijs per beheertype'!A87,'4. Beheertypen complexiteit'!$A$8:$I$59,7,FALSE),IF(C87='4. Beheertypen complexiteit'!$H$6,VLOOKUP('2. Kostprijs per beheertype'!A87,'4. Beheertypen complexiteit'!$A$8:$I$59,8,FALSE),IF(C87='4. Beheertypen complexiteit'!$I$6,VLOOKUP('2. Kostprijs per beheertype'!A87,'4. Beheertypen complexiteit'!$A$8:$I$59,9,FALSE),"Nvt")))))))</f>
        <v>2</v>
      </c>
      <c r="E87" s="373">
        <f>IF(C87='1. Samenvatting'!$H$9,VLOOKUP('2. Kostprijs per beheertype'!D87,'1. Samenvatting'!$G$9:$N$15,2,FALSE),IF(C87='1. Samenvatting'!$I$9,VLOOKUP('2. Kostprijs per beheertype'!D87,'1. Samenvatting'!$G$9:$N$15,3),IF(C87='1. Samenvatting'!$J$9,VLOOKUP('2. Kostprijs per beheertype'!D87,'1. Samenvatting'!$G$9:$N$15,4),IF(C87='1. Samenvatting'!$K$9,VLOOKUP('2. Kostprijs per beheertype'!D87,'1. Samenvatting'!$G$9:$N$15,5),IF(C87='1. Samenvatting'!$L$9,VLOOKUP('2. Kostprijs per beheertype'!D87,'1. Samenvatting'!$G$9:$N$15,6),IF(C87='1. Samenvatting'!$M$9,VLOOKUP('2. Kostprijs per beheertype'!D87,'1. Samenvatting'!$G$9:$N$15,7),IF(C87='1. Samenvatting'!$N$9,VLOOKUP('2. Kostprijs per beheertype'!D87,'1. Samenvatting'!$G$9:$N$15,8),"Nvt")))))))</f>
        <v>34.542464078783418</v>
      </c>
      <c r="F87" s="373">
        <f>IF(C87='1. Samenvatting'!$H$9,VLOOKUP('2. Kostprijs per beheertype'!D87,'1. Samenvatting'!$G$16:$N$20,2,FALSE),IF(C87='1. Samenvatting'!$I$9,VLOOKUP('2. Kostprijs per beheertype'!D87,'1. Samenvatting'!$G$16:$N$20,3,FALSE),IF(C87='1. Samenvatting'!$J$9,VLOOKUP('2. Kostprijs per beheertype'!D87,'1. Samenvatting'!$G$16:$N$20,4,FALSE),IF(C87='1. Samenvatting'!$K$9,VLOOKUP('2. Kostprijs per beheertype'!D87,'1. Samenvatting'!$G$16:$N$20,5,FALSE),IF(C87='1. Samenvatting'!$L$9,VLOOKUP('2. Kostprijs per beheertype'!D87,'1. Samenvatting'!$G$16:$N$20,6,FALSE),IF(C87='1. Samenvatting'!$M$9,VLOOKUP('2. Kostprijs per beheertype'!D87,'1. Samenvatting'!$G$16:$N$20,7,FALSE),IF(C87='1. Samenvatting'!$N$9,VLOOKUP('2. Kostprijs per beheertype'!D87,'1. Samenvatting'!$G$16:$N$20,8,FALSE),"Nvt")))))))</f>
        <v>35.564482732629571</v>
      </c>
      <c r="G87" s="374">
        <v>6</v>
      </c>
      <c r="H87" s="373">
        <f t="shared" si="2"/>
        <v>5.7570773464639027</v>
      </c>
      <c r="I87" s="373">
        <f t="shared" si="3"/>
        <v>5.9274137887715952</v>
      </c>
      <c r="J87" s="373"/>
      <c r="K87" s="393"/>
      <c r="L87" s="394"/>
    </row>
    <row r="88" spans="1:12" s="300" customFormat="1" ht="9" x14ac:dyDescent="0.15">
      <c r="A88" s="400" t="s">
        <v>84</v>
      </c>
      <c r="B88" s="400" t="s">
        <v>85</v>
      </c>
      <c r="C88" s="414" t="s">
        <v>36</v>
      </c>
      <c r="D88" s="415">
        <f>IF(C88='4. Beheertypen complexiteit'!$C$6,VLOOKUP('2. Kostprijs per beheertype'!A88,'4. Beheertypen complexiteit'!$A$8:$I$59,3,FALSE),IF(C88='4. Beheertypen complexiteit'!$D$6,VLOOKUP('2. Kostprijs per beheertype'!A88,'4. Beheertypen complexiteit'!$A$8:$I$59,4,FALSE),IF(C88='4. Beheertypen complexiteit'!$E$6,VLOOKUP('2. Kostprijs per beheertype'!A88,'4. Beheertypen complexiteit'!$A$8:$I$59,5,FALSE),IF(C88='4. Beheertypen complexiteit'!$F$6,VLOOKUP('2. Kostprijs per beheertype'!A88,'4. Beheertypen complexiteit'!$A$8:$I$59,6,FALSE),IF(C88='4. Beheertypen complexiteit'!$G$6,VLOOKUP('2. Kostprijs per beheertype'!A88,'4. Beheertypen complexiteit'!$A$8:$I$59,7,FALSE),IF(C88='4. Beheertypen complexiteit'!$H$6,VLOOKUP('2. Kostprijs per beheertype'!A88,'4. Beheertypen complexiteit'!$A$8:$I$59,8,FALSE),IF(C88='4. Beheertypen complexiteit'!$I$6,VLOOKUP('2. Kostprijs per beheertype'!A88,'4. Beheertypen complexiteit'!$A$8:$I$59,9,FALSE),"Nvt")))))))</f>
        <v>2</v>
      </c>
      <c r="E88" s="416">
        <f>IF(C88='1. Samenvatting'!$H$9,VLOOKUP('2. Kostprijs per beheertype'!D88,'1. Samenvatting'!$G$9:$N$15,2,FALSE),IF(C88='1. Samenvatting'!$I$9,VLOOKUP('2. Kostprijs per beheertype'!D88,'1. Samenvatting'!$G$9:$N$15,3),IF(C88='1. Samenvatting'!$J$9,VLOOKUP('2. Kostprijs per beheertype'!D88,'1. Samenvatting'!$G$9:$N$15,4),IF(C88='1. Samenvatting'!$K$9,VLOOKUP('2. Kostprijs per beheertype'!D88,'1. Samenvatting'!$G$9:$N$15,5),IF(C88='1. Samenvatting'!$L$9,VLOOKUP('2. Kostprijs per beheertype'!D88,'1. Samenvatting'!$G$9:$N$15,6),IF(C88='1. Samenvatting'!$M$9,VLOOKUP('2. Kostprijs per beheertype'!D88,'1. Samenvatting'!$G$9:$N$15,7),IF(C88='1. Samenvatting'!$N$9,VLOOKUP('2. Kostprijs per beheertype'!D88,'1. Samenvatting'!$G$9:$N$15,8),"Nvt")))))))</f>
        <v>33.653086218723409</v>
      </c>
      <c r="F88" s="416">
        <f>IF(C88='1. Samenvatting'!$H$9,VLOOKUP('2. Kostprijs per beheertype'!D88,'1. Samenvatting'!$G$16:$N$20,2,FALSE),IF(C88='1. Samenvatting'!$I$9,VLOOKUP('2. Kostprijs per beheertype'!D88,'1. Samenvatting'!$G$16:$N$20,3,FALSE),IF(C88='1. Samenvatting'!$J$9,VLOOKUP('2. Kostprijs per beheertype'!D88,'1. Samenvatting'!$G$16:$N$20,4,FALSE),IF(C88='1. Samenvatting'!$K$9,VLOOKUP('2. Kostprijs per beheertype'!D88,'1. Samenvatting'!$G$16:$N$20,5,FALSE),IF(C88='1. Samenvatting'!$L$9,VLOOKUP('2. Kostprijs per beheertype'!D88,'1. Samenvatting'!$G$16:$N$20,6,FALSE),IF(C88='1. Samenvatting'!$M$9,VLOOKUP('2. Kostprijs per beheertype'!D88,'1. Samenvatting'!$G$16:$N$20,7,FALSE),IF(C88='1. Samenvatting'!$N$9,VLOOKUP('2. Kostprijs per beheertype'!D88,'1. Samenvatting'!$G$16:$N$20,8,FALSE),"Nvt")))))))</f>
        <v>43.955151218723415</v>
      </c>
      <c r="G88" s="417">
        <v>6</v>
      </c>
      <c r="H88" s="416">
        <f t="shared" si="2"/>
        <v>5.6088477031205679</v>
      </c>
      <c r="I88" s="416">
        <f t="shared" si="3"/>
        <v>7.3258585364539028</v>
      </c>
      <c r="J88" s="416"/>
      <c r="K88" s="393"/>
      <c r="L88" s="394"/>
    </row>
    <row r="89" spans="1:12" s="300" customFormat="1" ht="9" x14ac:dyDescent="0.15">
      <c r="A89" s="400" t="s">
        <v>84</v>
      </c>
      <c r="B89" s="400" t="s">
        <v>85</v>
      </c>
      <c r="C89" s="371" t="s">
        <v>155</v>
      </c>
      <c r="D89" s="372" t="str">
        <f>IF(C89='4. Beheertypen complexiteit'!$C$6,VLOOKUP('2. Kostprijs per beheertype'!A89,'4. Beheertypen complexiteit'!$A$8:$I$59,3,FALSE),IF(C89='4. Beheertypen complexiteit'!$D$6,VLOOKUP('2. Kostprijs per beheertype'!A89,'4. Beheertypen complexiteit'!$A$8:$I$59,4,FALSE),IF(C89='4. Beheertypen complexiteit'!$E$6,VLOOKUP('2. Kostprijs per beheertype'!A89,'4. Beheertypen complexiteit'!$A$8:$I$59,5,FALSE),IF(C89='4. Beheertypen complexiteit'!$F$6,VLOOKUP('2. Kostprijs per beheertype'!A89,'4. Beheertypen complexiteit'!$A$8:$I$59,6,FALSE),IF(C89='4. Beheertypen complexiteit'!$G$6,VLOOKUP('2. Kostprijs per beheertype'!A89,'4. Beheertypen complexiteit'!$A$8:$I$59,7,FALSE),IF(C89='4. Beheertypen complexiteit'!$H$6,VLOOKUP('2. Kostprijs per beheertype'!A89,'4. Beheertypen complexiteit'!$A$8:$I$59,8,FALSE),IF(C89='4. Beheertypen complexiteit'!$I$6,VLOOKUP('2. Kostprijs per beheertype'!A89,'4. Beheertypen complexiteit'!$A$8:$I$59,9,FALSE),"Nvt")))))))</f>
        <v>Nvt</v>
      </c>
      <c r="E89" s="373" t="str">
        <f>IF(C89='1. Samenvatting'!$H$9,VLOOKUP('2. Kostprijs per beheertype'!D89,'1. Samenvatting'!$G$9:$N$15,2,FALSE),IF(C89='1. Samenvatting'!$I$9,VLOOKUP('2. Kostprijs per beheertype'!D89,'1. Samenvatting'!$G$9:$N$15,3),IF(C89='1. Samenvatting'!$J$9,VLOOKUP('2. Kostprijs per beheertype'!D89,'1. Samenvatting'!$G$9:$N$15,4),IF(C89='1. Samenvatting'!$K$9,VLOOKUP('2. Kostprijs per beheertype'!D89,'1. Samenvatting'!$G$9:$N$15,5),IF(C89='1. Samenvatting'!$L$9,VLOOKUP('2. Kostprijs per beheertype'!D89,'1. Samenvatting'!$G$9:$N$15,6),IF(C89='1. Samenvatting'!$M$9,VLOOKUP('2. Kostprijs per beheertype'!D89,'1. Samenvatting'!$G$9:$N$15,7),IF(C89='1. Samenvatting'!$N$9,VLOOKUP('2. Kostprijs per beheertype'!D89,'1. Samenvatting'!$G$9:$N$15,8),"Nvt")))))))</f>
        <v>Nvt</v>
      </c>
      <c r="F89" s="373" t="str">
        <f>IF(C89='1. Samenvatting'!$H$9,VLOOKUP('2. Kostprijs per beheertype'!D89,'1. Samenvatting'!$G$16:$N$20,2,FALSE),IF(C89='1. Samenvatting'!$I$9,VLOOKUP('2. Kostprijs per beheertype'!D89,'1. Samenvatting'!$G$16:$N$20,3,FALSE),IF(C89='1. Samenvatting'!$J$9,VLOOKUP('2. Kostprijs per beheertype'!D89,'1. Samenvatting'!$G$16:$N$20,4,FALSE),IF(C89='1. Samenvatting'!$K$9,VLOOKUP('2. Kostprijs per beheertype'!D89,'1. Samenvatting'!$G$16:$N$20,5,FALSE),IF(C89='1. Samenvatting'!$L$9,VLOOKUP('2. Kostprijs per beheertype'!D89,'1. Samenvatting'!$G$16:$N$20,6,FALSE),IF(C89='1. Samenvatting'!$M$9,VLOOKUP('2. Kostprijs per beheertype'!D89,'1. Samenvatting'!$G$16:$N$20,7,FALSE),IF(C89='1. Samenvatting'!$N$9,VLOOKUP('2. Kostprijs per beheertype'!D89,'1. Samenvatting'!$G$16:$N$20,8,FALSE),"Nvt")))))))</f>
        <v>Nvt</v>
      </c>
      <c r="G89" s="374">
        <v>6</v>
      </c>
      <c r="H89" s="373">
        <f t="shared" si="2"/>
        <v>0</v>
      </c>
      <c r="I89" s="373">
        <f t="shared" si="3"/>
        <v>0</v>
      </c>
      <c r="J89" s="373"/>
      <c r="K89" s="393"/>
      <c r="L89" s="394"/>
    </row>
    <row r="90" spans="1:12" s="300" customFormat="1" ht="9" x14ac:dyDescent="0.15">
      <c r="A90" s="401" t="s">
        <v>84</v>
      </c>
      <c r="B90" s="401" t="s">
        <v>85</v>
      </c>
      <c r="C90" s="379" t="s">
        <v>16</v>
      </c>
      <c r="D90" s="380">
        <f>IF(C90='4. Beheertypen complexiteit'!$C$6,VLOOKUP('2. Kostprijs per beheertype'!A90,'4. Beheertypen complexiteit'!$A$8:$I$59,3,FALSE),IF(C90='4. Beheertypen complexiteit'!$D$6,VLOOKUP('2. Kostprijs per beheertype'!A90,'4. Beheertypen complexiteit'!$A$8:$I$59,4,FALSE),IF(C90='4. Beheertypen complexiteit'!$E$6,VLOOKUP('2. Kostprijs per beheertype'!A90,'4. Beheertypen complexiteit'!$A$8:$I$59,5,FALSE),IF(C90='4. Beheertypen complexiteit'!$F$6,VLOOKUP('2. Kostprijs per beheertype'!A90,'4. Beheertypen complexiteit'!$A$8:$I$59,6,FALSE),IF(C90='4. Beheertypen complexiteit'!$G$6,VLOOKUP('2. Kostprijs per beheertype'!A90,'4. Beheertypen complexiteit'!$A$8:$I$59,7,FALSE),IF(C90='4. Beheertypen complexiteit'!$H$6,VLOOKUP('2. Kostprijs per beheertype'!A90,'4. Beheertypen complexiteit'!$A$8:$I$59,8,FALSE),IF(C90='4. Beheertypen complexiteit'!$I$6,VLOOKUP('2. Kostprijs per beheertype'!A90,'4. Beheertypen complexiteit'!$A$8:$I$59,9,FALSE),"Nvt")))))))</f>
        <v>3</v>
      </c>
      <c r="E90" s="381">
        <f>IF(C90='1. Samenvatting'!$H$9,VLOOKUP('2. Kostprijs per beheertype'!D90,'1. Samenvatting'!$G$9:$N$15,2,FALSE),IF(C90='1. Samenvatting'!$I$9,VLOOKUP('2. Kostprijs per beheertype'!D90,'1. Samenvatting'!$G$9:$N$15,3),IF(C90='1. Samenvatting'!$J$9,VLOOKUP('2. Kostprijs per beheertype'!D90,'1. Samenvatting'!$G$9:$N$15,4),IF(C90='1. Samenvatting'!$K$9,VLOOKUP('2. Kostprijs per beheertype'!D90,'1. Samenvatting'!$G$9:$N$15,5),IF(C90='1. Samenvatting'!$L$9,VLOOKUP('2. Kostprijs per beheertype'!D90,'1. Samenvatting'!$G$9:$N$15,6),IF(C90='1. Samenvatting'!$M$9,VLOOKUP('2. Kostprijs per beheertype'!D90,'1. Samenvatting'!$G$9:$N$15,7),IF(C90='1. Samenvatting'!$N$9,VLOOKUP('2. Kostprijs per beheertype'!D90,'1. Samenvatting'!$G$9:$N$15,8),"Nvt")))))))</f>
        <v>76.345446582624135</v>
      </c>
      <c r="F90" s="381">
        <f>IF(C90='1. Samenvatting'!$H$9,VLOOKUP('2. Kostprijs per beheertype'!D90,'1. Samenvatting'!$G$16:$N$20,2,FALSE),IF(C90='1. Samenvatting'!$I$9,VLOOKUP('2. Kostprijs per beheertype'!D90,'1. Samenvatting'!$G$16:$N$20,3,FALSE),IF(C90='1. Samenvatting'!$J$9,VLOOKUP('2. Kostprijs per beheertype'!D90,'1. Samenvatting'!$G$16:$N$20,4,FALSE),IF(C90='1. Samenvatting'!$K$9,VLOOKUP('2. Kostprijs per beheertype'!D90,'1. Samenvatting'!$G$16:$N$20,5,FALSE),IF(C90='1. Samenvatting'!$L$9,VLOOKUP('2. Kostprijs per beheertype'!D90,'1. Samenvatting'!$G$16:$N$20,6,FALSE),IF(C90='1. Samenvatting'!$M$9,VLOOKUP('2. Kostprijs per beheertype'!D90,'1. Samenvatting'!$G$16:$N$20,7,FALSE),IF(C90='1. Samenvatting'!$N$9,VLOOKUP('2. Kostprijs per beheertype'!D90,'1. Samenvatting'!$G$16:$N$20,8,FALSE),"Nvt")))))))</f>
        <v>76.345446582624135</v>
      </c>
      <c r="G90" s="382">
        <v>12</v>
      </c>
      <c r="H90" s="381">
        <f t="shared" si="2"/>
        <v>6.3621205485520109</v>
      </c>
      <c r="I90" s="381">
        <f t="shared" si="3"/>
        <v>6.3621205485520109</v>
      </c>
      <c r="J90" s="381"/>
      <c r="K90" s="396"/>
      <c r="L90" s="397"/>
    </row>
    <row r="91" spans="1:12" s="300" customFormat="1" ht="9" x14ac:dyDescent="0.15">
      <c r="A91" s="398" t="s">
        <v>87</v>
      </c>
      <c r="B91" s="398" t="s">
        <v>88</v>
      </c>
      <c r="C91" s="365" t="s">
        <v>19</v>
      </c>
      <c r="D91" s="366">
        <f>IF(C91='4. Beheertypen complexiteit'!$C$6,VLOOKUP('2. Kostprijs per beheertype'!A91,'4. Beheertypen complexiteit'!$A$8:$I$59,3,FALSE),IF(C91='4. Beheertypen complexiteit'!$D$6,VLOOKUP('2. Kostprijs per beheertype'!A91,'4. Beheertypen complexiteit'!$A$8:$I$59,4,FALSE),IF(C91='4. Beheertypen complexiteit'!$E$6,VLOOKUP('2. Kostprijs per beheertype'!A91,'4. Beheertypen complexiteit'!$A$8:$I$59,5,FALSE),IF(C91='4. Beheertypen complexiteit'!$F$6,VLOOKUP('2. Kostprijs per beheertype'!A91,'4. Beheertypen complexiteit'!$A$8:$I$59,6,FALSE),IF(C91='4. Beheertypen complexiteit'!$G$6,VLOOKUP('2. Kostprijs per beheertype'!A91,'4. Beheertypen complexiteit'!$A$8:$I$59,7,FALSE),IF(C91='4. Beheertypen complexiteit'!$H$6,VLOOKUP('2. Kostprijs per beheertype'!A91,'4. Beheertypen complexiteit'!$A$8:$I$59,8,FALSE),IF(C91='4. Beheertypen complexiteit'!$I$6,VLOOKUP('2. Kostprijs per beheertype'!A91,'4. Beheertypen complexiteit'!$A$8:$I$59,9,FALSE),"Nvt")))))))</f>
        <v>3</v>
      </c>
      <c r="E91" s="367">
        <f>IF(C91='1. Samenvatting'!$H$9,VLOOKUP('2. Kostprijs per beheertype'!D91,'1. Samenvatting'!$G$9:$N$15,2,FALSE),IF(C91='1. Samenvatting'!$I$9,VLOOKUP('2. Kostprijs per beheertype'!D91,'1. Samenvatting'!$G$9:$N$15,3),IF(C91='1. Samenvatting'!$J$9,VLOOKUP('2. Kostprijs per beheertype'!D91,'1. Samenvatting'!$G$9:$N$15,4),IF(C91='1. Samenvatting'!$K$9,VLOOKUP('2. Kostprijs per beheertype'!D91,'1. Samenvatting'!$G$9:$N$15,5),IF(C91='1. Samenvatting'!$L$9,VLOOKUP('2. Kostprijs per beheertype'!D91,'1. Samenvatting'!$G$9:$N$15,6),IF(C91='1. Samenvatting'!$M$9,VLOOKUP('2. Kostprijs per beheertype'!D91,'1. Samenvatting'!$G$9:$N$15,7),IF(C91='1. Samenvatting'!$N$9,VLOOKUP('2. Kostprijs per beheertype'!D91,'1. Samenvatting'!$G$9:$N$15,8),"Nvt")))))))</f>
        <v>43.559801600749353</v>
      </c>
      <c r="F91" s="367">
        <f>IF(C91='1. Samenvatting'!$H$9,VLOOKUP('2. Kostprijs per beheertype'!D91,'1. Samenvatting'!$G$16:$N$20,2,FALSE),IF(C91='1. Samenvatting'!$I$9,VLOOKUP('2. Kostprijs per beheertype'!D91,'1. Samenvatting'!$G$16:$N$20,3,FALSE),IF(C91='1. Samenvatting'!$J$9,VLOOKUP('2. Kostprijs per beheertype'!D91,'1. Samenvatting'!$G$16:$N$20,4,FALSE),IF(C91='1. Samenvatting'!$K$9,VLOOKUP('2. Kostprijs per beheertype'!D91,'1. Samenvatting'!$G$16:$N$20,5,FALSE),IF(C91='1. Samenvatting'!$L$9,VLOOKUP('2. Kostprijs per beheertype'!D91,'1. Samenvatting'!$G$16:$N$20,6,FALSE),IF(C91='1. Samenvatting'!$M$9,VLOOKUP('2. Kostprijs per beheertype'!D91,'1. Samenvatting'!$G$16:$N$20,7,FALSE),IF(C91='1. Samenvatting'!$N$9,VLOOKUP('2. Kostprijs per beheertype'!D91,'1. Samenvatting'!$G$16:$N$20,8,FALSE),"Nvt")))))))</f>
        <v>51.288023660578418</v>
      </c>
      <c r="G91" s="368">
        <v>6</v>
      </c>
      <c r="H91" s="367">
        <f t="shared" si="2"/>
        <v>7.2599669334582257</v>
      </c>
      <c r="I91" s="367">
        <f t="shared" si="3"/>
        <v>8.5480039434297357</v>
      </c>
      <c r="J91" s="367">
        <f>'3. Parameters kostprijsmodel'!$F$36</f>
        <v>3.0089563425755728</v>
      </c>
      <c r="K91" s="361">
        <f>SUM(H91:H95)+J91</f>
        <v>27.996968874170278</v>
      </c>
      <c r="L91" s="362">
        <f>SUM(I91:I95)+J91</f>
        <v>31.172353159782816</v>
      </c>
    </row>
    <row r="92" spans="1:12" s="300" customFormat="1" ht="9" x14ac:dyDescent="0.15">
      <c r="A92" s="400" t="s">
        <v>87</v>
      </c>
      <c r="B92" s="400" t="s">
        <v>88</v>
      </c>
      <c r="C92" s="371" t="s">
        <v>21</v>
      </c>
      <c r="D92" s="372">
        <f>IF(C92='4. Beheertypen complexiteit'!$C$6,VLOOKUP('2. Kostprijs per beheertype'!A92,'4. Beheertypen complexiteit'!$A$8:$I$59,3,FALSE),IF(C92='4. Beheertypen complexiteit'!$D$6,VLOOKUP('2. Kostprijs per beheertype'!A92,'4. Beheertypen complexiteit'!$A$8:$I$59,4,FALSE),IF(C92='4. Beheertypen complexiteit'!$E$6,VLOOKUP('2. Kostprijs per beheertype'!A92,'4. Beheertypen complexiteit'!$A$8:$I$59,5,FALSE),IF(C92='4. Beheertypen complexiteit'!$F$6,VLOOKUP('2. Kostprijs per beheertype'!A92,'4. Beheertypen complexiteit'!$A$8:$I$59,6,FALSE),IF(C92='4. Beheertypen complexiteit'!$G$6,VLOOKUP('2. Kostprijs per beheertype'!A92,'4. Beheertypen complexiteit'!$A$8:$I$59,7,FALSE),IF(C92='4. Beheertypen complexiteit'!$H$6,VLOOKUP('2. Kostprijs per beheertype'!A92,'4. Beheertypen complexiteit'!$A$8:$I$59,8,FALSE),IF(C92='4. Beheertypen complexiteit'!$I$6,VLOOKUP('2. Kostprijs per beheertype'!A92,'4. Beheertypen complexiteit'!$A$8:$I$59,9,FALSE),"Nvt")))))))</f>
        <v>2</v>
      </c>
      <c r="E92" s="373">
        <f>IF(C92='1. Samenvatting'!$H$9,VLOOKUP('2. Kostprijs per beheertype'!D92,'1. Samenvatting'!$G$9:$N$15,2,FALSE),IF(C92='1. Samenvatting'!$I$9,VLOOKUP('2. Kostprijs per beheertype'!D92,'1. Samenvatting'!$G$9:$N$15,3),IF(C92='1. Samenvatting'!$J$9,VLOOKUP('2. Kostprijs per beheertype'!D92,'1. Samenvatting'!$G$9:$N$15,4),IF(C92='1. Samenvatting'!$K$9,VLOOKUP('2. Kostprijs per beheertype'!D92,'1. Samenvatting'!$G$9:$N$15,5),IF(C92='1. Samenvatting'!$L$9,VLOOKUP('2. Kostprijs per beheertype'!D92,'1. Samenvatting'!$G$9:$N$15,6),IF(C92='1. Samenvatting'!$M$9,VLOOKUP('2. Kostprijs per beheertype'!D92,'1. Samenvatting'!$G$9:$N$15,7),IF(C92='1. Samenvatting'!$N$9,VLOOKUP('2. Kostprijs per beheertype'!D92,'1. Samenvatting'!$G$9:$N$15,8),"Nvt")))))))</f>
        <v>34.542464078783418</v>
      </c>
      <c r="F92" s="373">
        <f>IF(C92='1. Samenvatting'!$H$9,VLOOKUP('2. Kostprijs per beheertype'!D92,'1. Samenvatting'!$G$16:$N$20,2,FALSE),IF(C92='1. Samenvatting'!$I$9,VLOOKUP('2. Kostprijs per beheertype'!D92,'1. Samenvatting'!$G$16:$N$20,3,FALSE),IF(C92='1. Samenvatting'!$J$9,VLOOKUP('2. Kostprijs per beheertype'!D92,'1. Samenvatting'!$G$16:$N$20,4,FALSE),IF(C92='1. Samenvatting'!$K$9,VLOOKUP('2. Kostprijs per beheertype'!D92,'1. Samenvatting'!$G$16:$N$20,5,FALSE),IF(C92='1. Samenvatting'!$L$9,VLOOKUP('2. Kostprijs per beheertype'!D92,'1. Samenvatting'!$G$16:$N$20,6,FALSE),IF(C92='1. Samenvatting'!$M$9,VLOOKUP('2. Kostprijs per beheertype'!D92,'1. Samenvatting'!$G$16:$N$20,7,FALSE),IF(C92='1. Samenvatting'!$N$9,VLOOKUP('2. Kostprijs per beheertype'!D92,'1. Samenvatting'!$G$16:$N$20,8,FALSE),"Nvt")))))))</f>
        <v>35.564482732629571</v>
      </c>
      <c r="G92" s="374">
        <v>6</v>
      </c>
      <c r="H92" s="373">
        <f t="shared" si="2"/>
        <v>5.7570773464639027</v>
      </c>
      <c r="I92" s="373">
        <f t="shared" si="3"/>
        <v>5.9274137887715952</v>
      </c>
      <c r="J92" s="373"/>
      <c r="K92" s="393"/>
      <c r="L92" s="394"/>
    </row>
    <row r="93" spans="1:12" s="300" customFormat="1" ht="9" x14ac:dyDescent="0.15">
      <c r="A93" s="400" t="s">
        <v>87</v>
      </c>
      <c r="B93" s="400" t="s">
        <v>88</v>
      </c>
      <c r="C93" s="414" t="s">
        <v>36</v>
      </c>
      <c r="D93" s="415">
        <f>IF(C93='4. Beheertypen complexiteit'!$C$6,VLOOKUP('2. Kostprijs per beheertype'!A93,'4. Beheertypen complexiteit'!$A$8:$I$59,3,FALSE),IF(C93='4. Beheertypen complexiteit'!$D$6,VLOOKUP('2. Kostprijs per beheertype'!A93,'4. Beheertypen complexiteit'!$A$8:$I$59,4,FALSE),IF(C93='4. Beheertypen complexiteit'!$E$6,VLOOKUP('2. Kostprijs per beheertype'!A93,'4. Beheertypen complexiteit'!$A$8:$I$59,5,FALSE),IF(C93='4. Beheertypen complexiteit'!$F$6,VLOOKUP('2. Kostprijs per beheertype'!A93,'4. Beheertypen complexiteit'!$A$8:$I$59,6,FALSE),IF(C93='4. Beheertypen complexiteit'!$G$6,VLOOKUP('2. Kostprijs per beheertype'!A93,'4. Beheertypen complexiteit'!$A$8:$I$59,7,FALSE),IF(C93='4. Beheertypen complexiteit'!$H$6,VLOOKUP('2. Kostprijs per beheertype'!A93,'4. Beheertypen complexiteit'!$A$8:$I$59,8,FALSE),IF(C93='4. Beheertypen complexiteit'!$I$6,VLOOKUP('2. Kostprijs per beheertype'!A93,'4. Beheertypen complexiteit'!$A$8:$I$59,9,FALSE),"Nvt")))))))</f>
        <v>2</v>
      </c>
      <c r="E93" s="416">
        <f>IF(C93='1. Samenvatting'!$H$9,VLOOKUP('2. Kostprijs per beheertype'!D93,'1. Samenvatting'!$G$9:$N$15,2,FALSE),IF(C93='1. Samenvatting'!$I$9,VLOOKUP('2. Kostprijs per beheertype'!D93,'1. Samenvatting'!$G$9:$N$15,3),IF(C93='1. Samenvatting'!$J$9,VLOOKUP('2. Kostprijs per beheertype'!D93,'1. Samenvatting'!$G$9:$N$15,4),IF(C93='1. Samenvatting'!$K$9,VLOOKUP('2. Kostprijs per beheertype'!D93,'1. Samenvatting'!$G$9:$N$15,5),IF(C93='1. Samenvatting'!$L$9,VLOOKUP('2. Kostprijs per beheertype'!D93,'1. Samenvatting'!$G$9:$N$15,6),IF(C93='1. Samenvatting'!$M$9,VLOOKUP('2. Kostprijs per beheertype'!D93,'1. Samenvatting'!$G$9:$N$15,7),IF(C93='1. Samenvatting'!$N$9,VLOOKUP('2. Kostprijs per beheertype'!D93,'1. Samenvatting'!$G$9:$N$15,8),"Nvt")))))))</f>
        <v>33.653086218723409</v>
      </c>
      <c r="F93" s="416">
        <f>IF(C93='1. Samenvatting'!$H$9,VLOOKUP('2. Kostprijs per beheertype'!D93,'1. Samenvatting'!$G$16:$N$20,2,FALSE),IF(C93='1. Samenvatting'!$I$9,VLOOKUP('2. Kostprijs per beheertype'!D93,'1. Samenvatting'!$G$16:$N$20,3,FALSE),IF(C93='1. Samenvatting'!$J$9,VLOOKUP('2. Kostprijs per beheertype'!D93,'1. Samenvatting'!$G$16:$N$20,4,FALSE),IF(C93='1. Samenvatting'!$K$9,VLOOKUP('2. Kostprijs per beheertype'!D93,'1. Samenvatting'!$G$16:$N$20,5,FALSE),IF(C93='1. Samenvatting'!$L$9,VLOOKUP('2. Kostprijs per beheertype'!D93,'1. Samenvatting'!$G$16:$N$20,6,FALSE),IF(C93='1. Samenvatting'!$M$9,VLOOKUP('2. Kostprijs per beheertype'!D93,'1. Samenvatting'!$G$16:$N$20,7,FALSE),IF(C93='1. Samenvatting'!$N$9,VLOOKUP('2. Kostprijs per beheertype'!D93,'1. Samenvatting'!$G$16:$N$20,8,FALSE),"Nvt")))))))</f>
        <v>43.955151218723415</v>
      </c>
      <c r="G93" s="417">
        <v>6</v>
      </c>
      <c r="H93" s="416">
        <f t="shared" si="2"/>
        <v>5.6088477031205679</v>
      </c>
      <c r="I93" s="416">
        <f t="shared" si="3"/>
        <v>7.3258585364539028</v>
      </c>
      <c r="J93" s="416"/>
      <c r="K93" s="393"/>
      <c r="L93" s="394"/>
    </row>
    <row r="94" spans="1:12" s="300" customFormat="1" ht="9" x14ac:dyDescent="0.15">
      <c r="A94" s="400" t="s">
        <v>87</v>
      </c>
      <c r="B94" s="400" t="s">
        <v>88</v>
      </c>
      <c r="C94" s="371" t="s">
        <v>155</v>
      </c>
      <c r="D94" s="372" t="str">
        <f>IF(C94='4. Beheertypen complexiteit'!$C$6,VLOOKUP('2. Kostprijs per beheertype'!A94,'4. Beheertypen complexiteit'!$A$8:$I$59,3,FALSE),IF(C94='4. Beheertypen complexiteit'!$D$6,VLOOKUP('2. Kostprijs per beheertype'!A94,'4. Beheertypen complexiteit'!$A$8:$I$59,4,FALSE),IF(C94='4. Beheertypen complexiteit'!$E$6,VLOOKUP('2. Kostprijs per beheertype'!A94,'4. Beheertypen complexiteit'!$A$8:$I$59,5,FALSE),IF(C94='4. Beheertypen complexiteit'!$F$6,VLOOKUP('2. Kostprijs per beheertype'!A94,'4. Beheertypen complexiteit'!$A$8:$I$59,6,FALSE),IF(C94='4. Beheertypen complexiteit'!$G$6,VLOOKUP('2. Kostprijs per beheertype'!A94,'4. Beheertypen complexiteit'!$A$8:$I$59,7,FALSE),IF(C94='4. Beheertypen complexiteit'!$H$6,VLOOKUP('2. Kostprijs per beheertype'!A94,'4. Beheertypen complexiteit'!$A$8:$I$59,8,FALSE),IF(C94='4. Beheertypen complexiteit'!$I$6,VLOOKUP('2. Kostprijs per beheertype'!A94,'4. Beheertypen complexiteit'!$A$8:$I$59,9,FALSE),"Nvt")))))))</f>
        <v>Nvt</v>
      </c>
      <c r="E94" s="373" t="str">
        <f>IF(C94='1. Samenvatting'!$H$9,VLOOKUP('2. Kostprijs per beheertype'!D94,'1. Samenvatting'!$G$9:$N$15,2,FALSE),IF(C94='1. Samenvatting'!$I$9,VLOOKUP('2. Kostprijs per beheertype'!D94,'1. Samenvatting'!$G$9:$N$15,3),IF(C94='1. Samenvatting'!$J$9,VLOOKUP('2. Kostprijs per beheertype'!D94,'1. Samenvatting'!$G$9:$N$15,4),IF(C94='1. Samenvatting'!$K$9,VLOOKUP('2. Kostprijs per beheertype'!D94,'1. Samenvatting'!$G$9:$N$15,5),IF(C94='1. Samenvatting'!$L$9,VLOOKUP('2. Kostprijs per beheertype'!D94,'1. Samenvatting'!$G$9:$N$15,6),IF(C94='1. Samenvatting'!$M$9,VLOOKUP('2. Kostprijs per beheertype'!D94,'1. Samenvatting'!$G$9:$N$15,7),IF(C94='1. Samenvatting'!$N$9,VLOOKUP('2. Kostprijs per beheertype'!D94,'1. Samenvatting'!$G$9:$N$15,8),"Nvt")))))))</f>
        <v>Nvt</v>
      </c>
      <c r="F94" s="373" t="str">
        <f>IF(C94='1. Samenvatting'!$H$9,VLOOKUP('2. Kostprijs per beheertype'!D94,'1. Samenvatting'!$G$16:$N$20,2,FALSE),IF(C94='1. Samenvatting'!$I$9,VLOOKUP('2. Kostprijs per beheertype'!D94,'1. Samenvatting'!$G$16:$N$20,3,FALSE),IF(C94='1. Samenvatting'!$J$9,VLOOKUP('2. Kostprijs per beheertype'!D94,'1. Samenvatting'!$G$16:$N$20,4,FALSE),IF(C94='1. Samenvatting'!$K$9,VLOOKUP('2. Kostprijs per beheertype'!D94,'1. Samenvatting'!$G$16:$N$20,5,FALSE),IF(C94='1. Samenvatting'!$L$9,VLOOKUP('2. Kostprijs per beheertype'!D94,'1. Samenvatting'!$G$16:$N$20,6,FALSE),IF(C94='1. Samenvatting'!$M$9,VLOOKUP('2. Kostprijs per beheertype'!D94,'1. Samenvatting'!$G$16:$N$20,7,FALSE),IF(C94='1. Samenvatting'!$N$9,VLOOKUP('2. Kostprijs per beheertype'!D94,'1. Samenvatting'!$G$16:$N$20,8,FALSE),"Nvt")))))))</f>
        <v>Nvt</v>
      </c>
      <c r="G94" s="374">
        <v>6</v>
      </c>
      <c r="H94" s="373">
        <f t="shared" si="2"/>
        <v>0</v>
      </c>
      <c r="I94" s="373">
        <f t="shared" si="3"/>
        <v>0</v>
      </c>
      <c r="J94" s="373"/>
      <c r="K94" s="393"/>
      <c r="L94" s="394"/>
    </row>
    <row r="95" spans="1:12" s="300" customFormat="1" ht="9" x14ac:dyDescent="0.15">
      <c r="A95" s="401" t="s">
        <v>87</v>
      </c>
      <c r="B95" s="401" t="s">
        <v>88</v>
      </c>
      <c r="C95" s="379" t="s">
        <v>16</v>
      </c>
      <c r="D95" s="380">
        <f>IF(C95='4. Beheertypen complexiteit'!$C$6,VLOOKUP('2. Kostprijs per beheertype'!A95,'4. Beheertypen complexiteit'!$A$8:$I$59,3,FALSE),IF(C95='4. Beheertypen complexiteit'!$D$6,VLOOKUP('2. Kostprijs per beheertype'!A95,'4. Beheertypen complexiteit'!$A$8:$I$59,4,FALSE),IF(C95='4. Beheertypen complexiteit'!$E$6,VLOOKUP('2. Kostprijs per beheertype'!A95,'4. Beheertypen complexiteit'!$A$8:$I$59,5,FALSE),IF(C95='4. Beheertypen complexiteit'!$F$6,VLOOKUP('2. Kostprijs per beheertype'!A95,'4. Beheertypen complexiteit'!$A$8:$I$59,6,FALSE),IF(C95='4. Beheertypen complexiteit'!$G$6,VLOOKUP('2. Kostprijs per beheertype'!A95,'4. Beheertypen complexiteit'!$A$8:$I$59,7,FALSE),IF(C95='4. Beheertypen complexiteit'!$H$6,VLOOKUP('2. Kostprijs per beheertype'!A95,'4. Beheertypen complexiteit'!$A$8:$I$59,8,FALSE),IF(C95='4. Beheertypen complexiteit'!$I$6,VLOOKUP('2. Kostprijs per beheertype'!A95,'4. Beheertypen complexiteit'!$A$8:$I$59,9,FALSE),"Nvt")))))))</f>
        <v>3</v>
      </c>
      <c r="E95" s="381">
        <f>IF(C95='1. Samenvatting'!$H$9,VLOOKUP('2. Kostprijs per beheertype'!D95,'1. Samenvatting'!$G$9:$N$15,2,FALSE),IF(C95='1. Samenvatting'!$I$9,VLOOKUP('2. Kostprijs per beheertype'!D95,'1. Samenvatting'!$G$9:$N$15,3),IF(C95='1. Samenvatting'!$J$9,VLOOKUP('2. Kostprijs per beheertype'!D95,'1. Samenvatting'!$G$9:$N$15,4),IF(C95='1. Samenvatting'!$K$9,VLOOKUP('2. Kostprijs per beheertype'!D95,'1. Samenvatting'!$G$9:$N$15,5),IF(C95='1. Samenvatting'!$L$9,VLOOKUP('2. Kostprijs per beheertype'!D95,'1. Samenvatting'!$G$9:$N$15,6),IF(C95='1. Samenvatting'!$M$9,VLOOKUP('2. Kostprijs per beheertype'!D95,'1. Samenvatting'!$G$9:$N$15,7),IF(C95='1. Samenvatting'!$N$9,VLOOKUP('2. Kostprijs per beheertype'!D95,'1. Samenvatting'!$G$9:$N$15,8),"Nvt")))))))</f>
        <v>76.345446582624135</v>
      </c>
      <c r="F95" s="381">
        <f>IF(C95='1. Samenvatting'!$H$9,VLOOKUP('2. Kostprijs per beheertype'!D95,'1. Samenvatting'!$G$16:$N$20,2,FALSE),IF(C95='1. Samenvatting'!$I$9,VLOOKUP('2. Kostprijs per beheertype'!D95,'1. Samenvatting'!$G$16:$N$20,3,FALSE),IF(C95='1. Samenvatting'!$J$9,VLOOKUP('2. Kostprijs per beheertype'!D95,'1. Samenvatting'!$G$16:$N$20,4,FALSE),IF(C95='1. Samenvatting'!$K$9,VLOOKUP('2. Kostprijs per beheertype'!D95,'1. Samenvatting'!$G$16:$N$20,5,FALSE),IF(C95='1. Samenvatting'!$L$9,VLOOKUP('2. Kostprijs per beheertype'!D95,'1. Samenvatting'!$G$16:$N$20,6,FALSE),IF(C95='1. Samenvatting'!$M$9,VLOOKUP('2. Kostprijs per beheertype'!D95,'1. Samenvatting'!$G$16:$N$20,7,FALSE),IF(C95='1. Samenvatting'!$N$9,VLOOKUP('2. Kostprijs per beheertype'!D95,'1. Samenvatting'!$G$16:$N$20,8,FALSE),"Nvt")))))))</f>
        <v>76.345446582624135</v>
      </c>
      <c r="G95" s="382">
        <v>12</v>
      </c>
      <c r="H95" s="381">
        <f t="shared" si="2"/>
        <v>6.3621205485520109</v>
      </c>
      <c r="I95" s="381">
        <f t="shared" si="3"/>
        <v>6.3621205485520109</v>
      </c>
      <c r="J95" s="381"/>
      <c r="K95" s="396"/>
      <c r="L95" s="397"/>
    </row>
    <row r="96" spans="1:12" s="300" customFormat="1" ht="9" x14ac:dyDescent="0.15">
      <c r="A96" s="398" t="s">
        <v>90</v>
      </c>
      <c r="B96" s="398" t="s">
        <v>91</v>
      </c>
      <c r="C96" s="365" t="s">
        <v>19</v>
      </c>
      <c r="D96" s="366">
        <f>IF(C96='4. Beheertypen complexiteit'!$C$6,VLOOKUP('2. Kostprijs per beheertype'!A96,'4. Beheertypen complexiteit'!$A$8:$I$59,3,FALSE),IF(C96='4. Beheertypen complexiteit'!$D$6,VLOOKUP('2. Kostprijs per beheertype'!A96,'4. Beheertypen complexiteit'!$A$8:$I$59,4,FALSE),IF(C96='4. Beheertypen complexiteit'!$E$6,VLOOKUP('2. Kostprijs per beheertype'!A96,'4. Beheertypen complexiteit'!$A$8:$I$59,5,FALSE),IF(C96='4. Beheertypen complexiteit'!$F$6,VLOOKUP('2. Kostprijs per beheertype'!A96,'4. Beheertypen complexiteit'!$A$8:$I$59,6,FALSE),IF(C96='4. Beheertypen complexiteit'!$G$6,VLOOKUP('2. Kostprijs per beheertype'!A96,'4. Beheertypen complexiteit'!$A$8:$I$59,7,FALSE),IF(C96='4. Beheertypen complexiteit'!$H$6,VLOOKUP('2. Kostprijs per beheertype'!A96,'4. Beheertypen complexiteit'!$A$8:$I$59,8,FALSE),IF(C96='4. Beheertypen complexiteit'!$I$6,VLOOKUP('2. Kostprijs per beheertype'!A96,'4. Beheertypen complexiteit'!$A$8:$I$59,9,FALSE),"Nvt")))))))</f>
        <v>3</v>
      </c>
      <c r="E96" s="367">
        <f>IF(C96='1. Samenvatting'!$H$9,VLOOKUP('2. Kostprijs per beheertype'!D96,'1. Samenvatting'!$G$9:$N$15,2,FALSE),IF(C96='1. Samenvatting'!$I$9,VLOOKUP('2. Kostprijs per beheertype'!D96,'1. Samenvatting'!$G$9:$N$15,3),IF(C96='1. Samenvatting'!$J$9,VLOOKUP('2. Kostprijs per beheertype'!D96,'1. Samenvatting'!$G$9:$N$15,4),IF(C96='1. Samenvatting'!$K$9,VLOOKUP('2. Kostprijs per beheertype'!D96,'1. Samenvatting'!$G$9:$N$15,5),IF(C96='1. Samenvatting'!$L$9,VLOOKUP('2. Kostprijs per beheertype'!D96,'1. Samenvatting'!$G$9:$N$15,6),IF(C96='1. Samenvatting'!$M$9,VLOOKUP('2. Kostprijs per beheertype'!D96,'1. Samenvatting'!$G$9:$N$15,7),IF(C96='1. Samenvatting'!$N$9,VLOOKUP('2. Kostprijs per beheertype'!D96,'1. Samenvatting'!$G$9:$N$15,8),"Nvt")))))))</f>
        <v>43.559801600749353</v>
      </c>
      <c r="F96" s="367">
        <f>IF(C96='1. Samenvatting'!$H$9,VLOOKUP('2. Kostprijs per beheertype'!D96,'1. Samenvatting'!$G$16:$N$20,2,FALSE),IF(C96='1. Samenvatting'!$I$9,VLOOKUP('2. Kostprijs per beheertype'!D96,'1. Samenvatting'!$G$16:$N$20,3,FALSE),IF(C96='1. Samenvatting'!$J$9,VLOOKUP('2. Kostprijs per beheertype'!D96,'1. Samenvatting'!$G$16:$N$20,4,FALSE),IF(C96='1. Samenvatting'!$K$9,VLOOKUP('2. Kostprijs per beheertype'!D96,'1. Samenvatting'!$G$16:$N$20,5,FALSE),IF(C96='1. Samenvatting'!$L$9,VLOOKUP('2. Kostprijs per beheertype'!D96,'1. Samenvatting'!$G$16:$N$20,6,FALSE),IF(C96='1. Samenvatting'!$M$9,VLOOKUP('2. Kostprijs per beheertype'!D96,'1. Samenvatting'!$G$16:$N$20,7,FALSE),IF(C96='1. Samenvatting'!$N$9,VLOOKUP('2. Kostprijs per beheertype'!D96,'1. Samenvatting'!$G$16:$N$20,8,FALSE),"Nvt")))))))</f>
        <v>51.288023660578418</v>
      </c>
      <c r="G96" s="368">
        <v>6</v>
      </c>
      <c r="H96" s="367">
        <f t="shared" si="2"/>
        <v>7.2599669334582257</v>
      </c>
      <c r="I96" s="367">
        <f t="shared" si="3"/>
        <v>8.5480039434297357</v>
      </c>
      <c r="J96" s="367">
        <f>'3. Parameters kostprijsmodel'!$F$36</f>
        <v>3.0089563425755728</v>
      </c>
      <c r="K96" s="361">
        <f>SUM(H96:H98)+$J$96</f>
        <v>20.818928482666436</v>
      </c>
      <c r="L96" s="362">
        <f>SUM(I96:I98)+$J$96</f>
        <v>22.27730193494564</v>
      </c>
    </row>
    <row r="97" spans="1:12" s="300" customFormat="1" ht="9" x14ac:dyDescent="0.15">
      <c r="A97" s="400" t="s">
        <v>90</v>
      </c>
      <c r="B97" s="400" t="s">
        <v>91</v>
      </c>
      <c r="C97" s="371" t="s">
        <v>21</v>
      </c>
      <c r="D97" s="372">
        <f>IF(C97='4. Beheertypen complexiteit'!$C$6,VLOOKUP('2. Kostprijs per beheertype'!A97,'4. Beheertypen complexiteit'!$A$8:$I$59,3,FALSE),IF(C97='4. Beheertypen complexiteit'!$D$6,VLOOKUP('2. Kostprijs per beheertype'!A97,'4. Beheertypen complexiteit'!$A$8:$I$59,4,FALSE),IF(C97='4. Beheertypen complexiteit'!$E$6,VLOOKUP('2. Kostprijs per beheertype'!A97,'4. Beheertypen complexiteit'!$A$8:$I$59,5,FALSE),IF(C97='4. Beheertypen complexiteit'!$F$6,VLOOKUP('2. Kostprijs per beheertype'!A97,'4. Beheertypen complexiteit'!$A$8:$I$59,6,FALSE),IF(C97='4. Beheertypen complexiteit'!$G$6,VLOOKUP('2. Kostprijs per beheertype'!A97,'4. Beheertypen complexiteit'!$A$8:$I$59,7,FALSE),IF(C97='4. Beheertypen complexiteit'!$H$6,VLOOKUP('2. Kostprijs per beheertype'!A97,'4. Beheertypen complexiteit'!$A$8:$I$59,8,FALSE),IF(C97='4. Beheertypen complexiteit'!$I$6,VLOOKUP('2. Kostprijs per beheertype'!A97,'4. Beheertypen complexiteit'!$A$8:$I$59,9,FALSE),"Nvt")))))))</f>
        <v>2</v>
      </c>
      <c r="E97" s="373">
        <f>IF(C97='1. Samenvatting'!$H$9,VLOOKUP('2. Kostprijs per beheertype'!D97,'1. Samenvatting'!$G$9:$N$15,2,FALSE),IF(C97='1. Samenvatting'!$I$9,VLOOKUP('2. Kostprijs per beheertype'!D97,'1. Samenvatting'!$G$9:$N$15,3),IF(C97='1. Samenvatting'!$J$9,VLOOKUP('2. Kostprijs per beheertype'!D97,'1. Samenvatting'!$G$9:$N$15,4),IF(C97='1. Samenvatting'!$K$9,VLOOKUP('2. Kostprijs per beheertype'!D97,'1. Samenvatting'!$G$9:$N$15,5),IF(C97='1. Samenvatting'!$L$9,VLOOKUP('2. Kostprijs per beheertype'!D97,'1. Samenvatting'!$G$9:$N$15,6),IF(C97='1. Samenvatting'!$M$9,VLOOKUP('2. Kostprijs per beheertype'!D97,'1. Samenvatting'!$G$9:$N$15,7),IF(C97='1. Samenvatting'!$N$9,VLOOKUP('2. Kostprijs per beheertype'!D97,'1. Samenvatting'!$G$9:$N$15,8),"Nvt")))))))</f>
        <v>34.542464078783418</v>
      </c>
      <c r="F97" s="373">
        <f>IF(C97='1. Samenvatting'!$H$9,VLOOKUP('2. Kostprijs per beheertype'!D97,'1. Samenvatting'!$G$16:$N$20,2,FALSE),IF(C97='1. Samenvatting'!$I$9,VLOOKUP('2. Kostprijs per beheertype'!D97,'1. Samenvatting'!$G$16:$N$20,3,FALSE),IF(C97='1. Samenvatting'!$J$9,VLOOKUP('2. Kostprijs per beheertype'!D97,'1. Samenvatting'!$G$16:$N$20,4,FALSE),IF(C97='1. Samenvatting'!$K$9,VLOOKUP('2. Kostprijs per beheertype'!D97,'1. Samenvatting'!$G$16:$N$20,5,FALSE),IF(C97='1. Samenvatting'!$L$9,VLOOKUP('2. Kostprijs per beheertype'!D97,'1. Samenvatting'!$G$16:$N$20,6,FALSE),IF(C97='1. Samenvatting'!$M$9,VLOOKUP('2. Kostprijs per beheertype'!D97,'1. Samenvatting'!$G$16:$N$20,7,FALSE),IF(C97='1. Samenvatting'!$N$9,VLOOKUP('2. Kostprijs per beheertype'!D97,'1. Samenvatting'!$G$16:$N$20,8,FALSE),"Nvt")))))))</f>
        <v>35.564482732629571</v>
      </c>
      <c r="G97" s="374">
        <v>6</v>
      </c>
      <c r="H97" s="373">
        <f t="shared" si="2"/>
        <v>5.7570773464639027</v>
      </c>
      <c r="I97" s="373">
        <f t="shared" si="3"/>
        <v>5.9274137887715952</v>
      </c>
      <c r="J97" s="373"/>
      <c r="K97" s="393"/>
      <c r="L97" s="394"/>
    </row>
    <row r="98" spans="1:12" s="300" customFormat="1" ht="9" x14ac:dyDescent="0.15">
      <c r="A98" s="401" t="s">
        <v>90</v>
      </c>
      <c r="B98" s="401" t="s">
        <v>91</v>
      </c>
      <c r="C98" s="379" t="s">
        <v>16</v>
      </c>
      <c r="D98" s="380">
        <f>IF(C98='4. Beheertypen complexiteit'!$C$6,VLOOKUP('2. Kostprijs per beheertype'!A98,'4. Beheertypen complexiteit'!$A$8:$I$59,3,FALSE),IF(C98='4. Beheertypen complexiteit'!$D$6,VLOOKUP('2. Kostprijs per beheertype'!A98,'4. Beheertypen complexiteit'!$A$8:$I$59,4,FALSE),IF(C98='4. Beheertypen complexiteit'!$E$6,VLOOKUP('2. Kostprijs per beheertype'!A98,'4. Beheertypen complexiteit'!$A$8:$I$59,5,FALSE),IF(C98='4. Beheertypen complexiteit'!$F$6,VLOOKUP('2. Kostprijs per beheertype'!A98,'4. Beheertypen complexiteit'!$A$8:$I$59,6,FALSE),IF(C98='4. Beheertypen complexiteit'!$G$6,VLOOKUP('2. Kostprijs per beheertype'!A98,'4. Beheertypen complexiteit'!$A$8:$I$59,7,FALSE),IF(C98='4. Beheertypen complexiteit'!$H$6,VLOOKUP('2. Kostprijs per beheertype'!A98,'4. Beheertypen complexiteit'!$A$8:$I$59,8,FALSE),IF(C98='4. Beheertypen complexiteit'!$I$6,VLOOKUP('2. Kostprijs per beheertype'!A98,'4. Beheertypen complexiteit'!$A$8:$I$59,9,FALSE),"Nvt")))))))</f>
        <v>4</v>
      </c>
      <c r="E98" s="381">
        <f>IF(C98='1. Samenvatting'!$H$9,VLOOKUP('2. Kostprijs per beheertype'!D98,'1. Samenvatting'!$G$9:$N$15,2,FALSE),IF(C98='1. Samenvatting'!$I$9,VLOOKUP('2. Kostprijs per beheertype'!D98,'1. Samenvatting'!$G$9:$N$15,3),IF(C98='1. Samenvatting'!$J$9,VLOOKUP('2. Kostprijs per beheertype'!D98,'1. Samenvatting'!$G$9:$N$15,4),IF(C98='1. Samenvatting'!$K$9,VLOOKUP('2. Kostprijs per beheertype'!D98,'1. Samenvatting'!$G$9:$N$15,5),IF(C98='1. Samenvatting'!$L$9,VLOOKUP('2. Kostprijs per beheertype'!D98,'1. Samenvatting'!$G$9:$N$15,6),IF(C98='1. Samenvatting'!$M$9,VLOOKUP('2. Kostprijs per beheertype'!D98,'1. Samenvatting'!$G$9:$N$15,7),IF(C98='1. Samenvatting'!$N$9,VLOOKUP('2. Kostprijs per beheertype'!D98,'1. Samenvatting'!$G$9:$N$15,8),"Nvt")))))))</f>
        <v>57.515134322024821</v>
      </c>
      <c r="F98" s="381">
        <f>IF(C98='1. Samenvatting'!$H$9,VLOOKUP('2. Kostprijs per beheertype'!D98,'1. Samenvatting'!$G$16:$N$20,2,FALSE),IF(C98='1. Samenvatting'!$I$9,VLOOKUP('2. Kostprijs per beheertype'!D98,'1. Samenvatting'!$G$16:$N$20,3,FALSE),IF(C98='1. Samenvatting'!$J$9,VLOOKUP('2. Kostprijs per beheertype'!D98,'1. Samenvatting'!$G$16:$N$20,4,FALSE),IF(C98='1. Samenvatting'!$K$9,VLOOKUP('2. Kostprijs per beheertype'!D98,'1. Samenvatting'!$G$16:$N$20,5,FALSE),IF(C98='1. Samenvatting'!$L$9,VLOOKUP('2. Kostprijs per beheertype'!D98,'1. Samenvatting'!$G$16:$N$20,6,FALSE),IF(C98='1. Samenvatting'!$M$9,VLOOKUP('2. Kostprijs per beheertype'!D98,'1. Samenvatting'!$G$16:$N$20,7,FALSE),IF(C98='1. Samenvatting'!$N$9,VLOOKUP('2. Kostprijs per beheertype'!D98,'1. Samenvatting'!$G$16:$N$20,8,FALSE),"Nvt")))))))</f>
        <v>57.515134322024821</v>
      </c>
      <c r="G98" s="382">
        <v>12</v>
      </c>
      <c r="H98" s="381">
        <f t="shared" si="2"/>
        <v>4.7929278601687351</v>
      </c>
      <c r="I98" s="381">
        <f t="shared" si="3"/>
        <v>4.7929278601687351</v>
      </c>
      <c r="J98" s="381"/>
      <c r="K98" s="396"/>
      <c r="L98" s="397"/>
    </row>
    <row r="99" spans="1:12" s="300" customFormat="1" ht="9" x14ac:dyDescent="0.15">
      <c r="A99" s="398" t="s">
        <v>92</v>
      </c>
      <c r="B99" s="398" t="s">
        <v>93</v>
      </c>
      <c r="C99" s="365" t="s">
        <v>19</v>
      </c>
      <c r="D99" s="366">
        <f>IF(C99='4. Beheertypen complexiteit'!$C$6,VLOOKUP('2. Kostprijs per beheertype'!A99,'4. Beheertypen complexiteit'!$A$8:$I$59,3,FALSE),IF(C99='4. Beheertypen complexiteit'!$D$6,VLOOKUP('2. Kostprijs per beheertype'!A99,'4. Beheertypen complexiteit'!$A$8:$I$59,4,FALSE),IF(C99='4. Beheertypen complexiteit'!$E$6,VLOOKUP('2. Kostprijs per beheertype'!A99,'4. Beheertypen complexiteit'!$A$8:$I$59,5,FALSE),IF(C99='4. Beheertypen complexiteit'!$F$6,VLOOKUP('2. Kostprijs per beheertype'!A99,'4. Beheertypen complexiteit'!$A$8:$I$59,6,FALSE),IF(C99='4. Beheertypen complexiteit'!$G$6,VLOOKUP('2. Kostprijs per beheertype'!A99,'4. Beheertypen complexiteit'!$A$8:$I$59,7,FALSE),IF(C99='4. Beheertypen complexiteit'!$H$6,VLOOKUP('2. Kostprijs per beheertype'!A99,'4. Beheertypen complexiteit'!$A$8:$I$59,8,FALSE),IF(C99='4. Beheertypen complexiteit'!$I$6,VLOOKUP('2. Kostprijs per beheertype'!A99,'4. Beheertypen complexiteit'!$A$8:$I$59,9,FALSE),"Nvt")))))))</f>
        <v>1</v>
      </c>
      <c r="E99" s="367">
        <f>IF(C99='1. Samenvatting'!$H$9,VLOOKUP('2. Kostprijs per beheertype'!D99,'1. Samenvatting'!$G$9:$N$15,2,FALSE),IF(C99='1. Samenvatting'!$I$9,VLOOKUP('2. Kostprijs per beheertype'!D99,'1. Samenvatting'!$G$9:$N$15,3),IF(C99='1. Samenvatting'!$J$9,VLOOKUP('2. Kostprijs per beheertype'!D99,'1. Samenvatting'!$G$9:$N$15,4),IF(C99='1. Samenvatting'!$K$9,VLOOKUP('2. Kostprijs per beheertype'!D99,'1. Samenvatting'!$G$9:$N$15,5),IF(C99='1. Samenvatting'!$L$9,VLOOKUP('2. Kostprijs per beheertype'!D99,'1. Samenvatting'!$G$9:$N$15,6),IF(C99='1. Samenvatting'!$M$9,VLOOKUP('2. Kostprijs per beheertype'!D99,'1. Samenvatting'!$G$9:$N$15,7),IF(C99='1. Samenvatting'!$N$9,VLOOKUP('2. Kostprijs per beheertype'!D99,'1. Samenvatting'!$G$9:$N$15,8),"Nvt")))))))</f>
        <v>92.159399805164711</v>
      </c>
      <c r="F99" s="367">
        <f>IF(C99='1. Samenvatting'!$H$9,VLOOKUP('2. Kostprijs per beheertype'!D99,'1. Samenvatting'!$G$16:$N$20,2,FALSE),IF(C99='1. Samenvatting'!$I$9,VLOOKUP('2. Kostprijs per beheertype'!D99,'1. Samenvatting'!$G$16:$N$20,3,FALSE),IF(C99='1. Samenvatting'!$J$9,VLOOKUP('2. Kostprijs per beheertype'!D99,'1. Samenvatting'!$G$16:$N$20,4,FALSE),IF(C99='1. Samenvatting'!$K$9,VLOOKUP('2. Kostprijs per beheertype'!D99,'1. Samenvatting'!$G$16:$N$20,5,FALSE),IF(C99='1. Samenvatting'!$L$9,VLOOKUP('2. Kostprijs per beheertype'!D99,'1. Samenvatting'!$G$16:$N$20,6,FALSE),IF(C99='1. Samenvatting'!$M$9,VLOOKUP('2. Kostprijs per beheertype'!D99,'1. Samenvatting'!$G$16:$N$20,7,FALSE),IF(C99='1. Samenvatting'!$N$9,VLOOKUP('2. Kostprijs per beheertype'!D99,'1. Samenvatting'!$G$16:$N$20,8,FALSE),"Nvt")))))))</f>
        <v>112.82583216627582</v>
      </c>
      <c r="G99" s="368">
        <v>6</v>
      </c>
      <c r="H99" s="367">
        <f t="shared" si="2"/>
        <v>15.359899967527452</v>
      </c>
      <c r="I99" s="367">
        <f t="shared" si="3"/>
        <v>18.804305361045969</v>
      </c>
      <c r="J99" s="367">
        <f>'3. Parameters kostprijsmodel'!$F$36</f>
        <v>3.0089563425755728</v>
      </c>
      <c r="K99" s="361">
        <f>SUM(H99:H103)+$J$99</f>
        <v>40.082114121191616</v>
      </c>
      <c r="L99" s="362">
        <f>SUM(I99:I103)+$J$99</f>
        <v>45.413866790351157</v>
      </c>
    </row>
    <row r="100" spans="1:12" s="300" customFormat="1" ht="9" x14ac:dyDescent="0.15">
      <c r="A100" s="400" t="s">
        <v>92</v>
      </c>
      <c r="B100" s="400" t="s">
        <v>93</v>
      </c>
      <c r="C100" s="371" t="s">
        <v>21</v>
      </c>
      <c r="D100" s="372">
        <f>IF(C100='4. Beheertypen complexiteit'!$C$6,VLOOKUP('2. Kostprijs per beheertype'!A100,'4. Beheertypen complexiteit'!$A$8:$I$59,3,FALSE),IF(C100='4. Beheertypen complexiteit'!$D$6,VLOOKUP('2. Kostprijs per beheertype'!A100,'4. Beheertypen complexiteit'!$A$8:$I$59,4,FALSE),IF(C100='4. Beheertypen complexiteit'!$E$6,VLOOKUP('2. Kostprijs per beheertype'!A100,'4. Beheertypen complexiteit'!$A$8:$I$59,5,FALSE),IF(C100='4. Beheertypen complexiteit'!$F$6,VLOOKUP('2. Kostprijs per beheertype'!A100,'4. Beheertypen complexiteit'!$A$8:$I$59,6,FALSE),IF(C100='4. Beheertypen complexiteit'!$G$6,VLOOKUP('2. Kostprijs per beheertype'!A100,'4. Beheertypen complexiteit'!$A$8:$I$59,7,FALSE),IF(C100='4. Beheertypen complexiteit'!$H$6,VLOOKUP('2. Kostprijs per beheertype'!A100,'4. Beheertypen complexiteit'!$A$8:$I$59,8,FALSE),IF(C100='4. Beheertypen complexiteit'!$I$6,VLOOKUP('2. Kostprijs per beheertype'!A100,'4. Beheertypen complexiteit'!$A$8:$I$59,9,FALSE),"Nvt")))))))</f>
        <v>2</v>
      </c>
      <c r="E100" s="373">
        <f>IF(C100='1. Samenvatting'!$H$9,VLOOKUP('2. Kostprijs per beheertype'!D100,'1. Samenvatting'!$G$9:$N$15,2,FALSE),IF(C100='1. Samenvatting'!$I$9,VLOOKUP('2. Kostprijs per beheertype'!D100,'1. Samenvatting'!$G$9:$N$15,3),IF(C100='1. Samenvatting'!$J$9,VLOOKUP('2. Kostprijs per beheertype'!D100,'1. Samenvatting'!$G$9:$N$15,4),IF(C100='1. Samenvatting'!$K$9,VLOOKUP('2. Kostprijs per beheertype'!D100,'1. Samenvatting'!$G$9:$N$15,5),IF(C100='1. Samenvatting'!$L$9,VLOOKUP('2. Kostprijs per beheertype'!D100,'1. Samenvatting'!$G$9:$N$15,6),IF(C100='1. Samenvatting'!$M$9,VLOOKUP('2. Kostprijs per beheertype'!D100,'1. Samenvatting'!$G$9:$N$15,7),IF(C100='1. Samenvatting'!$N$9,VLOOKUP('2. Kostprijs per beheertype'!D100,'1. Samenvatting'!$G$9:$N$15,8),"Nvt")))))))</f>
        <v>34.542464078783418</v>
      </c>
      <c r="F100" s="373">
        <f>IF(C100='1. Samenvatting'!$H$9,VLOOKUP('2. Kostprijs per beheertype'!D100,'1. Samenvatting'!$G$16:$N$20,2,FALSE),IF(C100='1. Samenvatting'!$I$9,VLOOKUP('2. Kostprijs per beheertype'!D100,'1. Samenvatting'!$G$16:$N$20,3,FALSE),IF(C100='1. Samenvatting'!$J$9,VLOOKUP('2. Kostprijs per beheertype'!D100,'1. Samenvatting'!$G$16:$N$20,4,FALSE),IF(C100='1. Samenvatting'!$K$9,VLOOKUP('2. Kostprijs per beheertype'!D100,'1. Samenvatting'!$G$16:$N$20,5,FALSE),IF(C100='1. Samenvatting'!$L$9,VLOOKUP('2. Kostprijs per beheertype'!D100,'1. Samenvatting'!$G$16:$N$20,6,FALSE),IF(C100='1. Samenvatting'!$M$9,VLOOKUP('2. Kostprijs per beheertype'!D100,'1. Samenvatting'!$G$16:$N$20,7,FALSE),IF(C100='1. Samenvatting'!$N$9,VLOOKUP('2. Kostprijs per beheertype'!D100,'1. Samenvatting'!$G$16:$N$20,8,FALSE),"Nvt")))))))</f>
        <v>35.564482732629571</v>
      </c>
      <c r="G100" s="374">
        <v>6</v>
      </c>
      <c r="H100" s="373">
        <f t="shared" si="2"/>
        <v>5.7570773464639027</v>
      </c>
      <c r="I100" s="373">
        <f t="shared" si="3"/>
        <v>5.9274137887715952</v>
      </c>
      <c r="J100" s="373"/>
      <c r="K100" s="393"/>
      <c r="L100" s="394"/>
    </row>
    <row r="101" spans="1:12" s="300" customFormat="1" ht="9" x14ac:dyDescent="0.15">
      <c r="A101" s="400" t="s">
        <v>92</v>
      </c>
      <c r="B101" s="400" t="s">
        <v>93</v>
      </c>
      <c r="C101" s="414" t="s">
        <v>36</v>
      </c>
      <c r="D101" s="415">
        <f>IF(C101='4. Beheertypen complexiteit'!$C$6,VLOOKUP('2. Kostprijs per beheertype'!A101,'4. Beheertypen complexiteit'!$A$8:$I$59,3,FALSE),IF(C101='4. Beheertypen complexiteit'!$D$6,VLOOKUP('2. Kostprijs per beheertype'!A101,'4. Beheertypen complexiteit'!$A$8:$I$59,4,FALSE),IF(C101='4. Beheertypen complexiteit'!$E$6,VLOOKUP('2. Kostprijs per beheertype'!A101,'4. Beheertypen complexiteit'!$A$8:$I$59,5,FALSE),IF(C101='4. Beheertypen complexiteit'!$F$6,VLOOKUP('2. Kostprijs per beheertype'!A101,'4. Beheertypen complexiteit'!$A$8:$I$59,6,FALSE),IF(C101='4. Beheertypen complexiteit'!$G$6,VLOOKUP('2. Kostprijs per beheertype'!A101,'4. Beheertypen complexiteit'!$A$8:$I$59,7,FALSE),IF(C101='4. Beheertypen complexiteit'!$H$6,VLOOKUP('2. Kostprijs per beheertype'!A101,'4. Beheertypen complexiteit'!$A$8:$I$59,8,FALSE),IF(C101='4. Beheertypen complexiteit'!$I$6,VLOOKUP('2. Kostprijs per beheertype'!A101,'4. Beheertypen complexiteit'!$A$8:$I$59,9,FALSE),"Nvt")))))))</f>
        <v>2</v>
      </c>
      <c r="E101" s="416">
        <f>IF(C101='1. Samenvatting'!$H$9,VLOOKUP('2. Kostprijs per beheertype'!D101,'1. Samenvatting'!$G$9:$N$15,2,FALSE),IF(C101='1. Samenvatting'!$I$9,VLOOKUP('2. Kostprijs per beheertype'!D101,'1. Samenvatting'!$G$9:$N$15,3),IF(C101='1. Samenvatting'!$J$9,VLOOKUP('2. Kostprijs per beheertype'!D101,'1. Samenvatting'!$G$9:$N$15,4),IF(C101='1. Samenvatting'!$K$9,VLOOKUP('2. Kostprijs per beheertype'!D101,'1. Samenvatting'!$G$9:$N$15,5),IF(C101='1. Samenvatting'!$L$9,VLOOKUP('2. Kostprijs per beheertype'!D101,'1. Samenvatting'!$G$9:$N$15,6),IF(C101='1. Samenvatting'!$M$9,VLOOKUP('2. Kostprijs per beheertype'!D101,'1. Samenvatting'!$G$9:$N$15,7),IF(C101='1. Samenvatting'!$N$9,VLOOKUP('2. Kostprijs per beheertype'!D101,'1. Samenvatting'!$G$9:$N$15,8),"Nvt")))))))</f>
        <v>33.653086218723409</v>
      </c>
      <c r="F101" s="416">
        <f>IF(C101='1. Samenvatting'!$H$9,VLOOKUP('2. Kostprijs per beheertype'!D101,'1. Samenvatting'!$G$16:$N$20,2,FALSE),IF(C101='1. Samenvatting'!$I$9,VLOOKUP('2. Kostprijs per beheertype'!D101,'1. Samenvatting'!$G$16:$N$20,3,FALSE),IF(C101='1. Samenvatting'!$J$9,VLOOKUP('2. Kostprijs per beheertype'!D101,'1. Samenvatting'!$G$16:$N$20,4,FALSE),IF(C101='1. Samenvatting'!$K$9,VLOOKUP('2. Kostprijs per beheertype'!D101,'1. Samenvatting'!$G$16:$N$20,5,FALSE),IF(C101='1. Samenvatting'!$L$9,VLOOKUP('2. Kostprijs per beheertype'!D101,'1. Samenvatting'!$G$16:$N$20,6,FALSE),IF(C101='1. Samenvatting'!$M$9,VLOOKUP('2. Kostprijs per beheertype'!D101,'1. Samenvatting'!$G$16:$N$20,7,FALSE),IF(C101='1. Samenvatting'!$N$9,VLOOKUP('2. Kostprijs per beheertype'!D101,'1. Samenvatting'!$G$16:$N$20,8,FALSE),"Nvt")))))))</f>
        <v>43.955151218723415</v>
      </c>
      <c r="G101" s="417">
        <v>6</v>
      </c>
      <c r="H101" s="416">
        <f t="shared" si="2"/>
        <v>5.6088477031205679</v>
      </c>
      <c r="I101" s="416">
        <f t="shared" si="3"/>
        <v>7.3258585364539028</v>
      </c>
      <c r="J101" s="416"/>
      <c r="K101" s="393"/>
      <c r="L101" s="394"/>
    </row>
    <row r="102" spans="1:12" s="300" customFormat="1" ht="9" x14ac:dyDescent="0.15">
      <c r="A102" s="400" t="s">
        <v>92</v>
      </c>
      <c r="B102" s="400" t="s">
        <v>93</v>
      </c>
      <c r="C102" s="371" t="s">
        <v>155</v>
      </c>
      <c r="D102" s="372" t="str">
        <f>IF(C102='4. Beheertypen complexiteit'!$C$6,VLOOKUP('2. Kostprijs per beheertype'!A102,'4. Beheertypen complexiteit'!$A$8:$I$59,3,FALSE),IF(C102='4. Beheertypen complexiteit'!$D$6,VLOOKUP('2. Kostprijs per beheertype'!A102,'4. Beheertypen complexiteit'!$A$8:$I$59,4,FALSE),IF(C102='4. Beheertypen complexiteit'!$E$6,VLOOKUP('2. Kostprijs per beheertype'!A102,'4. Beheertypen complexiteit'!$A$8:$I$59,5,FALSE),IF(C102='4. Beheertypen complexiteit'!$F$6,VLOOKUP('2. Kostprijs per beheertype'!A102,'4. Beheertypen complexiteit'!$A$8:$I$59,6,FALSE),IF(C102='4. Beheertypen complexiteit'!$G$6,VLOOKUP('2. Kostprijs per beheertype'!A102,'4. Beheertypen complexiteit'!$A$8:$I$59,7,FALSE),IF(C102='4. Beheertypen complexiteit'!$H$6,VLOOKUP('2. Kostprijs per beheertype'!A102,'4. Beheertypen complexiteit'!$A$8:$I$59,8,FALSE),IF(C102='4. Beheertypen complexiteit'!$I$6,VLOOKUP('2. Kostprijs per beheertype'!A102,'4. Beheertypen complexiteit'!$A$8:$I$59,9,FALSE),"Nvt")))))))</f>
        <v>Nvt</v>
      </c>
      <c r="E102" s="373" t="str">
        <f>IF(C102='1. Samenvatting'!$H$9,VLOOKUP('2. Kostprijs per beheertype'!D102,'1. Samenvatting'!$G$9:$N$15,2,FALSE),IF(C102='1. Samenvatting'!$I$9,VLOOKUP('2. Kostprijs per beheertype'!D102,'1. Samenvatting'!$G$9:$N$15,3),IF(C102='1. Samenvatting'!$J$9,VLOOKUP('2. Kostprijs per beheertype'!D102,'1. Samenvatting'!$G$9:$N$15,4),IF(C102='1. Samenvatting'!$K$9,VLOOKUP('2. Kostprijs per beheertype'!D102,'1. Samenvatting'!$G$9:$N$15,5),IF(C102='1. Samenvatting'!$L$9,VLOOKUP('2. Kostprijs per beheertype'!D102,'1. Samenvatting'!$G$9:$N$15,6),IF(C102='1. Samenvatting'!$M$9,VLOOKUP('2. Kostprijs per beheertype'!D102,'1. Samenvatting'!$G$9:$N$15,7),IF(C102='1. Samenvatting'!$N$9,VLOOKUP('2. Kostprijs per beheertype'!D102,'1. Samenvatting'!$G$9:$N$15,8),"Nvt")))))))</f>
        <v>Nvt</v>
      </c>
      <c r="F102" s="373" t="str">
        <f>IF(C102='1. Samenvatting'!$H$9,VLOOKUP('2. Kostprijs per beheertype'!D102,'1. Samenvatting'!$G$16:$N$20,2,FALSE),IF(C102='1. Samenvatting'!$I$9,VLOOKUP('2. Kostprijs per beheertype'!D102,'1. Samenvatting'!$G$16:$N$20,3,FALSE),IF(C102='1. Samenvatting'!$J$9,VLOOKUP('2. Kostprijs per beheertype'!D102,'1. Samenvatting'!$G$16:$N$20,4,FALSE),IF(C102='1. Samenvatting'!$K$9,VLOOKUP('2. Kostprijs per beheertype'!D102,'1. Samenvatting'!$G$16:$N$20,5,FALSE),IF(C102='1. Samenvatting'!$L$9,VLOOKUP('2. Kostprijs per beheertype'!D102,'1. Samenvatting'!$G$16:$N$20,6,FALSE),IF(C102='1. Samenvatting'!$M$9,VLOOKUP('2. Kostprijs per beheertype'!D102,'1. Samenvatting'!$G$16:$N$20,7,FALSE),IF(C102='1. Samenvatting'!$N$9,VLOOKUP('2. Kostprijs per beheertype'!D102,'1. Samenvatting'!$G$16:$N$20,8,FALSE),"Nvt")))))))</f>
        <v>Nvt</v>
      </c>
      <c r="G102" s="374">
        <v>6</v>
      </c>
      <c r="H102" s="373">
        <f t="shared" si="2"/>
        <v>0</v>
      </c>
      <c r="I102" s="373">
        <f t="shared" si="3"/>
        <v>0</v>
      </c>
      <c r="J102" s="373"/>
      <c r="K102" s="393"/>
      <c r="L102" s="394"/>
    </row>
    <row r="103" spans="1:12" s="300" customFormat="1" ht="9" x14ac:dyDescent="0.15">
      <c r="A103" s="401" t="s">
        <v>92</v>
      </c>
      <c r="B103" s="401" t="s">
        <v>93</v>
      </c>
      <c r="C103" s="379" t="s">
        <v>16</v>
      </c>
      <c r="D103" s="380">
        <f>IF(C103='4. Beheertypen complexiteit'!$C$6,VLOOKUP('2. Kostprijs per beheertype'!A103,'4. Beheertypen complexiteit'!$A$8:$I$59,3,FALSE),IF(C103='4. Beheertypen complexiteit'!$D$6,VLOOKUP('2. Kostprijs per beheertype'!A103,'4. Beheertypen complexiteit'!$A$8:$I$59,4,FALSE),IF(C103='4. Beheertypen complexiteit'!$E$6,VLOOKUP('2. Kostprijs per beheertype'!A103,'4. Beheertypen complexiteit'!$A$8:$I$59,5,FALSE),IF(C103='4. Beheertypen complexiteit'!$F$6,VLOOKUP('2. Kostprijs per beheertype'!A103,'4. Beheertypen complexiteit'!$A$8:$I$59,6,FALSE),IF(C103='4. Beheertypen complexiteit'!$G$6,VLOOKUP('2. Kostprijs per beheertype'!A103,'4. Beheertypen complexiteit'!$A$8:$I$59,7,FALSE),IF(C103='4. Beheertypen complexiteit'!$H$6,VLOOKUP('2. Kostprijs per beheertype'!A103,'4. Beheertypen complexiteit'!$A$8:$I$59,8,FALSE),IF(C103='4. Beheertypen complexiteit'!$I$6,VLOOKUP('2. Kostprijs per beheertype'!A103,'4. Beheertypen complexiteit'!$A$8:$I$59,9,FALSE),"Nvt")))))))</f>
        <v>2</v>
      </c>
      <c r="E103" s="381">
        <f>IF(C103='1. Samenvatting'!$H$9,VLOOKUP('2. Kostprijs per beheertype'!D103,'1. Samenvatting'!$G$9:$N$15,2,FALSE),IF(C103='1. Samenvatting'!$I$9,VLOOKUP('2. Kostprijs per beheertype'!D103,'1. Samenvatting'!$G$9:$N$15,3),IF(C103='1. Samenvatting'!$J$9,VLOOKUP('2. Kostprijs per beheertype'!D103,'1. Samenvatting'!$G$9:$N$15,4),IF(C103='1. Samenvatting'!$K$9,VLOOKUP('2. Kostprijs per beheertype'!D103,'1. Samenvatting'!$G$9:$N$15,5),IF(C103='1. Samenvatting'!$L$9,VLOOKUP('2. Kostprijs per beheertype'!D103,'1. Samenvatting'!$G$9:$N$15,6),IF(C103='1. Samenvatting'!$M$9,VLOOKUP('2. Kostprijs per beheertype'!D103,'1. Samenvatting'!$G$9:$N$15,7),IF(C103='1. Samenvatting'!$N$9,VLOOKUP('2. Kostprijs per beheertype'!D103,'1. Samenvatting'!$G$9:$N$15,8),"Nvt")))))))</f>
        <v>124.16799313804943</v>
      </c>
      <c r="F103" s="381">
        <f>IF(C103='1. Samenvatting'!$H$9,VLOOKUP('2. Kostprijs per beheertype'!D103,'1. Samenvatting'!$G$16:$N$20,2,FALSE),IF(C103='1. Samenvatting'!$I$9,VLOOKUP('2. Kostprijs per beheertype'!D103,'1. Samenvatting'!$G$16:$N$20,3,FALSE),IF(C103='1. Samenvatting'!$J$9,VLOOKUP('2. Kostprijs per beheertype'!D103,'1. Samenvatting'!$G$16:$N$20,4,FALSE),IF(C103='1. Samenvatting'!$K$9,VLOOKUP('2. Kostprijs per beheertype'!D103,'1. Samenvatting'!$G$16:$N$20,5,FALSE),IF(C103='1. Samenvatting'!$L$9,VLOOKUP('2. Kostprijs per beheertype'!D103,'1. Samenvatting'!$G$16:$N$20,6,FALSE),IF(C103='1. Samenvatting'!$M$9,VLOOKUP('2. Kostprijs per beheertype'!D103,'1. Samenvatting'!$G$16:$N$20,7,FALSE),IF(C103='1. Samenvatting'!$N$9,VLOOKUP('2. Kostprijs per beheertype'!D103,'1. Samenvatting'!$G$16:$N$20,8,FALSE),"Nvt")))))))</f>
        <v>124.16799313804943</v>
      </c>
      <c r="G103" s="382">
        <v>12</v>
      </c>
      <c r="H103" s="381">
        <f t="shared" si="2"/>
        <v>10.347332761504118</v>
      </c>
      <c r="I103" s="381">
        <f t="shared" si="3"/>
        <v>10.347332761504118</v>
      </c>
      <c r="J103" s="381"/>
      <c r="K103" s="396"/>
      <c r="L103" s="397"/>
    </row>
    <row r="104" spans="1:12" s="300" customFormat="1" ht="9" x14ac:dyDescent="0.15">
      <c r="A104" s="398" t="s">
        <v>94</v>
      </c>
      <c r="B104" s="398" t="s">
        <v>95</v>
      </c>
      <c r="C104" s="365" t="s">
        <v>19</v>
      </c>
      <c r="D104" s="366">
        <f>IF(C104='4. Beheertypen complexiteit'!$C$6,VLOOKUP('2. Kostprijs per beheertype'!A104,'4. Beheertypen complexiteit'!$A$8:$I$59,3,FALSE),IF(C104='4. Beheertypen complexiteit'!$D$6,VLOOKUP('2. Kostprijs per beheertype'!A104,'4. Beheertypen complexiteit'!$A$8:$I$59,4,FALSE),IF(C104='4. Beheertypen complexiteit'!$E$6,VLOOKUP('2. Kostprijs per beheertype'!A104,'4. Beheertypen complexiteit'!$A$8:$I$59,5,FALSE),IF(C104='4. Beheertypen complexiteit'!$F$6,VLOOKUP('2. Kostprijs per beheertype'!A104,'4. Beheertypen complexiteit'!$A$8:$I$59,6,FALSE),IF(C104='4. Beheertypen complexiteit'!$G$6,VLOOKUP('2. Kostprijs per beheertype'!A104,'4. Beheertypen complexiteit'!$A$8:$I$59,7,FALSE),IF(C104='4. Beheertypen complexiteit'!$H$6,VLOOKUP('2. Kostprijs per beheertype'!A104,'4. Beheertypen complexiteit'!$A$8:$I$59,8,FALSE),IF(C104='4. Beheertypen complexiteit'!$I$6,VLOOKUP('2. Kostprijs per beheertype'!A104,'4. Beheertypen complexiteit'!$A$8:$I$59,9,FALSE),"Nvt")))))))</f>
        <v>1</v>
      </c>
      <c r="E104" s="367">
        <f>IF(C104='1. Samenvatting'!$H$9,VLOOKUP('2. Kostprijs per beheertype'!D104,'1. Samenvatting'!$G$9:$N$15,2,FALSE),IF(C104='1. Samenvatting'!$I$9,VLOOKUP('2. Kostprijs per beheertype'!D104,'1. Samenvatting'!$G$9:$N$15,3),IF(C104='1. Samenvatting'!$J$9,VLOOKUP('2. Kostprijs per beheertype'!D104,'1. Samenvatting'!$G$9:$N$15,4),IF(C104='1. Samenvatting'!$K$9,VLOOKUP('2. Kostprijs per beheertype'!D104,'1. Samenvatting'!$G$9:$N$15,5),IF(C104='1. Samenvatting'!$L$9,VLOOKUP('2. Kostprijs per beheertype'!D104,'1. Samenvatting'!$G$9:$N$15,6),IF(C104='1. Samenvatting'!$M$9,VLOOKUP('2. Kostprijs per beheertype'!D104,'1. Samenvatting'!$G$9:$N$15,7),IF(C104='1. Samenvatting'!$N$9,VLOOKUP('2. Kostprijs per beheertype'!D104,'1. Samenvatting'!$G$9:$N$15,8),"Nvt")))))))</f>
        <v>92.159399805164711</v>
      </c>
      <c r="F104" s="367">
        <f>IF(C104='1. Samenvatting'!$H$9,VLOOKUP('2. Kostprijs per beheertype'!D104,'1. Samenvatting'!$G$16:$N$20,2,FALSE),IF(C104='1. Samenvatting'!$I$9,VLOOKUP('2. Kostprijs per beheertype'!D104,'1. Samenvatting'!$G$16:$N$20,3,FALSE),IF(C104='1. Samenvatting'!$J$9,VLOOKUP('2. Kostprijs per beheertype'!D104,'1. Samenvatting'!$G$16:$N$20,4,FALSE),IF(C104='1. Samenvatting'!$K$9,VLOOKUP('2. Kostprijs per beheertype'!D104,'1. Samenvatting'!$G$16:$N$20,5,FALSE),IF(C104='1. Samenvatting'!$L$9,VLOOKUP('2. Kostprijs per beheertype'!D104,'1. Samenvatting'!$G$16:$N$20,6,FALSE),IF(C104='1. Samenvatting'!$M$9,VLOOKUP('2. Kostprijs per beheertype'!D104,'1. Samenvatting'!$G$16:$N$20,7,FALSE),IF(C104='1. Samenvatting'!$N$9,VLOOKUP('2. Kostprijs per beheertype'!D104,'1. Samenvatting'!$G$16:$N$20,8,FALSE),"Nvt")))))))</f>
        <v>112.82583216627582</v>
      </c>
      <c r="G104" s="368">
        <v>6</v>
      </c>
      <c r="H104" s="367">
        <f t="shared" si="2"/>
        <v>15.359899967527452</v>
      </c>
      <c r="I104" s="367">
        <f t="shared" si="3"/>
        <v>18.804305361045969</v>
      </c>
      <c r="J104" s="367">
        <f>'3. Parameters kostprijsmodel'!$F$36</f>
        <v>3.0089563425755728</v>
      </c>
      <c r="K104" s="361">
        <f>SUM(H104:H107)+$J$104</f>
        <v>44.732222389193666</v>
      </c>
      <c r="L104" s="362">
        <f>SUM(I104:I107)+$J$104</f>
        <v>48.346964225019875</v>
      </c>
    </row>
    <row r="105" spans="1:12" s="300" customFormat="1" ht="9" x14ac:dyDescent="0.15">
      <c r="A105" s="400" t="s">
        <v>94</v>
      </c>
      <c r="B105" s="400" t="s">
        <v>95</v>
      </c>
      <c r="C105" s="371" t="s">
        <v>21</v>
      </c>
      <c r="D105" s="372">
        <f>IF(C105='4. Beheertypen complexiteit'!$C$6,VLOOKUP('2. Kostprijs per beheertype'!A105,'4. Beheertypen complexiteit'!$A$8:$I$59,3,FALSE),IF(C105='4. Beheertypen complexiteit'!$D$6,VLOOKUP('2. Kostprijs per beheertype'!A105,'4. Beheertypen complexiteit'!$A$8:$I$59,4,FALSE),IF(C105='4. Beheertypen complexiteit'!$E$6,VLOOKUP('2. Kostprijs per beheertype'!A105,'4. Beheertypen complexiteit'!$A$8:$I$59,5,FALSE),IF(C105='4. Beheertypen complexiteit'!$F$6,VLOOKUP('2. Kostprijs per beheertype'!A105,'4. Beheertypen complexiteit'!$A$8:$I$59,6,FALSE),IF(C105='4. Beheertypen complexiteit'!$G$6,VLOOKUP('2. Kostprijs per beheertype'!A105,'4. Beheertypen complexiteit'!$A$8:$I$59,7,FALSE),IF(C105='4. Beheertypen complexiteit'!$H$6,VLOOKUP('2. Kostprijs per beheertype'!A105,'4. Beheertypen complexiteit'!$A$8:$I$59,8,FALSE),IF(C105='4. Beheertypen complexiteit'!$I$6,VLOOKUP('2. Kostprijs per beheertype'!A105,'4. Beheertypen complexiteit'!$A$8:$I$59,9,FALSE),"Nvt")))))))</f>
        <v>2</v>
      </c>
      <c r="E105" s="373">
        <f>IF(C105='1. Samenvatting'!$H$9,VLOOKUP('2. Kostprijs per beheertype'!D105,'1. Samenvatting'!$G$9:$N$15,2,FALSE),IF(C105='1. Samenvatting'!$I$9,VLOOKUP('2. Kostprijs per beheertype'!D105,'1. Samenvatting'!$G$9:$N$15,3),IF(C105='1. Samenvatting'!$J$9,VLOOKUP('2. Kostprijs per beheertype'!D105,'1. Samenvatting'!$G$9:$N$15,4),IF(C105='1. Samenvatting'!$K$9,VLOOKUP('2. Kostprijs per beheertype'!D105,'1. Samenvatting'!$G$9:$N$15,5),IF(C105='1. Samenvatting'!$L$9,VLOOKUP('2. Kostprijs per beheertype'!D105,'1. Samenvatting'!$G$9:$N$15,6),IF(C105='1. Samenvatting'!$M$9,VLOOKUP('2. Kostprijs per beheertype'!D105,'1. Samenvatting'!$G$9:$N$15,7),IF(C105='1. Samenvatting'!$N$9,VLOOKUP('2. Kostprijs per beheertype'!D105,'1. Samenvatting'!$G$9:$N$15,8),"Nvt")))))))</f>
        <v>34.542464078783418</v>
      </c>
      <c r="F105" s="373">
        <f>IF(C105='1. Samenvatting'!$H$9,VLOOKUP('2. Kostprijs per beheertype'!D105,'1. Samenvatting'!$G$16:$N$20,2,FALSE),IF(C105='1. Samenvatting'!$I$9,VLOOKUP('2. Kostprijs per beheertype'!D105,'1. Samenvatting'!$G$16:$N$20,3,FALSE),IF(C105='1. Samenvatting'!$J$9,VLOOKUP('2. Kostprijs per beheertype'!D105,'1. Samenvatting'!$G$16:$N$20,4,FALSE),IF(C105='1. Samenvatting'!$K$9,VLOOKUP('2. Kostprijs per beheertype'!D105,'1. Samenvatting'!$G$16:$N$20,5,FALSE),IF(C105='1. Samenvatting'!$L$9,VLOOKUP('2. Kostprijs per beheertype'!D105,'1. Samenvatting'!$G$16:$N$20,6,FALSE),IF(C105='1. Samenvatting'!$M$9,VLOOKUP('2. Kostprijs per beheertype'!D105,'1. Samenvatting'!$G$16:$N$20,7,FALSE),IF(C105='1. Samenvatting'!$N$9,VLOOKUP('2. Kostprijs per beheertype'!D105,'1. Samenvatting'!$G$16:$N$20,8,FALSE),"Nvt")))))))</f>
        <v>35.564482732629571</v>
      </c>
      <c r="G105" s="374">
        <v>6</v>
      </c>
      <c r="H105" s="373">
        <f t="shared" si="2"/>
        <v>5.7570773464639027</v>
      </c>
      <c r="I105" s="373">
        <f t="shared" si="3"/>
        <v>5.9274137887715952</v>
      </c>
      <c r="J105" s="373"/>
      <c r="K105" s="393"/>
      <c r="L105" s="394"/>
    </row>
    <row r="106" spans="1:12" s="300" customFormat="1" ht="9" x14ac:dyDescent="0.15">
      <c r="A106" s="400" t="s">
        <v>94</v>
      </c>
      <c r="B106" s="400" t="s">
        <v>95</v>
      </c>
      <c r="C106" s="371" t="s">
        <v>155</v>
      </c>
      <c r="D106" s="372" t="str">
        <f>IF(C106='4. Beheertypen complexiteit'!$C$6,VLOOKUP('2. Kostprijs per beheertype'!A106,'4. Beheertypen complexiteit'!$A$8:$I$59,3,FALSE),IF(C106='4. Beheertypen complexiteit'!$D$6,VLOOKUP('2. Kostprijs per beheertype'!A106,'4. Beheertypen complexiteit'!$A$8:$I$59,4,FALSE),IF(C106='4. Beheertypen complexiteit'!$E$6,VLOOKUP('2. Kostprijs per beheertype'!A106,'4. Beheertypen complexiteit'!$A$8:$I$59,5,FALSE),IF(C106='4. Beheertypen complexiteit'!$F$6,VLOOKUP('2. Kostprijs per beheertype'!A106,'4. Beheertypen complexiteit'!$A$8:$I$59,6,FALSE),IF(C106='4. Beheertypen complexiteit'!$G$6,VLOOKUP('2. Kostprijs per beheertype'!A106,'4. Beheertypen complexiteit'!$A$8:$I$59,7,FALSE),IF(C106='4. Beheertypen complexiteit'!$H$6,VLOOKUP('2. Kostprijs per beheertype'!A106,'4. Beheertypen complexiteit'!$A$8:$I$59,8,FALSE),IF(C106='4. Beheertypen complexiteit'!$I$6,VLOOKUP('2. Kostprijs per beheertype'!A106,'4. Beheertypen complexiteit'!$A$8:$I$59,9,FALSE),"Nvt")))))))</f>
        <v>Nvt</v>
      </c>
      <c r="E106" s="373" t="str">
        <f>IF(C106='1. Samenvatting'!$H$9,VLOOKUP('2. Kostprijs per beheertype'!D106,'1. Samenvatting'!$G$9:$N$15,2,FALSE),IF(C106='1. Samenvatting'!$I$9,VLOOKUP('2. Kostprijs per beheertype'!D106,'1. Samenvatting'!$G$9:$N$15,3),IF(C106='1. Samenvatting'!$J$9,VLOOKUP('2. Kostprijs per beheertype'!D106,'1. Samenvatting'!$G$9:$N$15,4),IF(C106='1. Samenvatting'!$K$9,VLOOKUP('2. Kostprijs per beheertype'!D106,'1. Samenvatting'!$G$9:$N$15,5),IF(C106='1. Samenvatting'!$L$9,VLOOKUP('2. Kostprijs per beheertype'!D106,'1. Samenvatting'!$G$9:$N$15,6),IF(C106='1. Samenvatting'!$M$9,VLOOKUP('2. Kostprijs per beheertype'!D106,'1. Samenvatting'!$G$9:$N$15,7),IF(C106='1. Samenvatting'!$N$9,VLOOKUP('2. Kostprijs per beheertype'!D106,'1. Samenvatting'!$G$9:$N$15,8),"Nvt")))))))</f>
        <v>Nvt</v>
      </c>
      <c r="F106" s="373" t="str">
        <f>IF(C106='1. Samenvatting'!$H$9,VLOOKUP('2. Kostprijs per beheertype'!D106,'1. Samenvatting'!$G$16:$N$20,2,FALSE),IF(C106='1. Samenvatting'!$I$9,VLOOKUP('2. Kostprijs per beheertype'!D106,'1. Samenvatting'!$G$16:$N$20,3,FALSE),IF(C106='1. Samenvatting'!$J$9,VLOOKUP('2. Kostprijs per beheertype'!D106,'1. Samenvatting'!$G$16:$N$20,4,FALSE),IF(C106='1. Samenvatting'!$K$9,VLOOKUP('2. Kostprijs per beheertype'!D106,'1. Samenvatting'!$G$16:$N$20,5,FALSE),IF(C106='1. Samenvatting'!$L$9,VLOOKUP('2. Kostprijs per beheertype'!D106,'1. Samenvatting'!$G$16:$N$20,6,FALSE),IF(C106='1. Samenvatting'!$M$9,VLOOKUP('2. Kostprijs per beheertype'!D106,'1. Samenvatting'!$G$16:$N$20,7,FALSE),IF(C106='1. Samenvatting'!$N$9,VLOOKUP('2. Kostprijs per beheertype'!D106,'1. Samenvatting'!$G$16:$N$20,8,FALSE),"Nvt")))))))</f>
        <v>Nvt</v>
      </c>
      <c r="G106" s="374">
        <v>6</v>
      </c>
      <c r="H106" s="373">
        <f t="shared" si="2"/>
        <v>0</v>
      </c>
      <c r="I106" s="373">
        <f t="shared" si="3"/>
        <v>0</v>
      </c>
      <c r="J106" s="373"/>
      <c r="K106" s="393"/>
      <c r="L106" s="394"/>
    </row>
    <row r="107" spans="1:12" s="300" customFormat="1" ht="9" x14ac:dyDescent="0.15">
      <c r="A107" s="401" t="s">
        <v>94</v>
      </c>
      <c r="B107" s="401" t="s">
        <v>95</v>
      </c>
      <c r="C107" s="379" t="s">
        <v>16</v>
      </c>
      <c r="D107" s="380">
        <f>IF(C107='4. Beheertypen complexiteit'!$C$6,VLOOKUP('2. Kostprijs per beheertype'!A107,'4. Beheertypen complexiteit'!$A$8:$I$59,3,FALSE),IF(C107='4. Beheertypen complexiteit'!$D$6,VLOOKUP('2. Kostprijs per beheertype'!A107,'4. Beheertypen complexiteit'!$A$8:$I$59,4,FALSE),IF(C107='4. Beheertypen complexiteit'!$E$6,VLOOKUP('2. Kostprijs per beheertype'!A107,'4. Beheertypen complexiteit'!$A$8:$I$59,5,FALSE),IF(C107='4. Beheertypen complexiteit'!$F$6,VLOOKUP('2. Kostprijs per beheertype'!A107,'4. Beheertypen complexiteit'!$A$8:$I$59,6,FALSE),IF(C107='4. Beheertypen complexiteit'!$G$6,VLOOKUP('2. Kostprijs per beheertype'!A107,'4. Beheertypen complexiteit'!$A$8:$I$59,7,FALSE),IF(C107='4. Beheertypen complexiteit'!$H$6,VLOOKUP('2. Kostprijs per beheertype'!A107,'4. Beheertypen complexiteit'!$A$8:$I$59,8,FALSE),IF(C107='4. Beheertypen complexiteit'!$I$6,VLOOKUP('2. Kostprijs per beheertype'!A107,'4. Beheertypen complexiteit'!$A$8:$I$59,9,FALSE),"Nvt")))))))</f>
        <v>1</v>
      </c>
      <c r="E107" s="381">
        <f>IF(C107='1. Samenvatting'!$H$9,VLOOKUP('2. Kostprijs per beheertype'!D107,'1. Samenvatting'!$G$9:$N$15,2,FALSE),IF(C107='1. Samenvatting'!$I$9,VLOOKUP('2. Kostprijs per beheertype'!D107,'1. Samenvatting'!$G$9:$N$15,3),IF(C107='1. Samenvatting'!$J$9,VLOOKUP('2. Kostprijs per beheertype'!D107,'1. Samenvatting'!$G$9:$N$15,4),IF(C107='1. Samenvatting'!$K$9,VLOOKUP('2. Kostprijs per beheertype'!D107,'1. Samenvatting'!$G$9:$N$15,5),IF(C107='1. Samenvatting'!$L$9,VLOOKUP('2. Kostprijs per beheertype'!D107,'1. Samenvatting'!$G$9:$N$15,6),IF(C107='1. Samenvatting'!$M$9,VLOOKUP('2. Kostprijs per beheertype'!D107,'1. Samenvatting'!$G$9:$N$15,7),IF(C107='1. Samenvatting'!$N$9,VLOOKUP('2. Kostprijs per beheertype'!D107,'1. Samenvatting'!$G$9:$N$15,8),"Nvt")))))))</f>
        <v>247.27546479152085</v>
      </c>
      <c r="F107" s="381">
        <f>IF(C107='1. Samenvatting'!$H$9,VLOOKUP('2. Kostprijs per beheertype'!D107,'1. Samenvatting'!$G$16:$N$20,2,FALSE),IF(C107='1. Samenvatting'!$I$9,VLOOKUP('2. Kostprijs per beheertype'!D107,'1. Samenvatting'!$G$16:$N$20,3,FALSE),IF(C107='1. Samenvatting'!$J$9,VLOOKUP('2. Kostprijs per beheertype'!D107,'1. Samenvatting'!$G$16:$N$20,4,FALSE),IF(C107='1. Samenvatting'!$K$9,VLOOKUP('2. Kostprijs per beheertype'!D107,'1. Samenvatting'!$G$16:$N$20,5,FALSE),IF(C107='1. Samenvatting'!$L$9,VLOOKUP('2. Kostprijs per beheertype'!D107,'1. Samenvatting'!$G$16:$N$20,6,FALSE),IF(C107='1. Samenvatting'!$M$9,VLOOKUP('2. Kostprijs per beheertype'!D107,'1. Samenvatting'!$G$16:$N$20,7,FALSE),IF(C107='1. Samenvatting'!$N$9,VLOOKUP('2. Kostprijs per beheertype'!D107,'1. Samenvatting'!$G$16:$N$20,8,FALSE),"Nvt")))))))</f>
        <v>247.27546479152085</v>
      </c>
      <c r="G107" s="382">
        <v>12</v>
      </c>
      <c r="H107" s="381">
        <f t="shared" si="2"/>
        <v>20.606288732626737</v>
      </c>
      <c r="I107" s="381">
        <f t="shared" si="3"/>
        <v>20.606288732626737</v>
      </c>
      <c r="J107" s="381"/>
      <c r="K107" s="396"/>
      <c r="L107" s="397"/>
    </row>
    <row r="108" spans="1:12" s="300" customFormat="1" ht="9" x14ac:dyDescent="0.15">
      <c r="A108" s="398" t="s">
        <v>96</v>
      </c>
      <c r="B108" s="398" t="s">
        <v>97</v>
      </c>
      <c r="C108" s="365" t="s">
        <v>19</v>
      </c>
      <c r="D108" s="366">
        <f>IF(C108='4. Beheertypen complexiteit'!$C$6,VLOOKUP('2. Kostprijs per beheertype'!A108,'4. Beheertypen complexiteit'!$A$8:$I$59,3,FALSE),IF(C108='4. Beheertypen complexiteit'!$D$6,VLOOKUP('2. Kostprijs per beheertype'!A108,'4. Beheertypen complexiteit'!$A$8:$I$59,4,FALSE),IF(C108='4. Beheertypen complexiteit'!$E$6,VLOOKUP('2. Kostprijs per beheertype'!A108,'4. Beheertypen complexiteit'!$A$8:$I$59,5,FALSE),IF(C108='4. Beheertypen complexiteit'!$F$6,VLOOKUP('2. Kostprijs per beheertype'!A108,'4. Beheertypen complexiteit'!$A$8:$I$59,6,FALSE),IF(C108='4. Beheertypen complexiteit'!$G$6,VLOOKUP('2. Kostprijs per beheertype'!A108,'4. Beheertypen complexiteit'!$A$8:$I$59,7,FALSE),IF(C108='4. Beheertypen complexiteit'!$H$6,VLOOKUP('2. Kostprijs per beheertype'!A108,'4. Beheertypen complexiteit'!$A$8:$I$59,8,FALSE),IF(C108='4. Beheertypen complexiteit'!$I$6,VLOOKUP('2. Kostprijs per beheertype'!A108,'4. Beheertypen complexiteit'!$A$8:$I$59,9,FALSE),"Nvt")))))))</f>
        <v>3</v>
      </c>
      <c r="E108" s="367">
        <f>IF(C108='1. Samenvatting'!$H$9,VLOOKUP('2. Kostprijs per beheertype'!D108,'1. Samenvatting'!$G$9:$N$15,2,FALSE),IF(C108='1. Samenvatting'!$I$9,VLOOKUP('2. Kostprijs per beheertype'!D108,'1. Samenvatting'!$G$9:$N$15,3),IF(C108='1. Samenvatting'!$J$9,VLOOKUP('2. Kostprijs per beheertype'!D108,'1. Samenvatting'!$G$9:$N$15,4),IF(C108='1. Samenvatting'!$K$9,VLOOKUP('2. Kostprijs per beheertype'!D108,'1. Samenvatting'!$G$9:$N$15,5),IF(C108='1. Samenvatting'!$L$9,VLOOKUP('2. Kostprijs per beheertype'!D108,'1. Samenvatting'!$G$9:$N$15,6),IF(C108='1. Samenvatting'!$M$9,VLOOKUP('2. Kostprijs per beheertype'!D108,'1. Samenvatting'!$G$9:$N$15,7),IF(C108='1. Samenvatting'!$N$9,VLOOKUP('2. Kostprijs per beheertype'!D108,'1. Samenvatting'!$G$9:$N$15,8),"Nvt")))))))</f>
        <v>43.559801600749353</v>
      </c>
      <c r="F108" s="367">
        <f>IF(C108='1. Samenvatting'!$H$9,VLOOKUP('2. Kostprijs per beheertype'!D108,'1. Samenvatting'!$G$16:$N$20,2,FALSE),IF(C108='1. Samenvatting'!$I$9,VLOOKUP('2. Kostprijs per beheertype'!D108,'1. Samenvatting'!$G$16:$N$20,3,FALSE),IF(C108='1. Samenvatting'!$J$9,VLOOKUP('2. Kostprijs per beheertype'!D108,'1. Samenvatting'!$G$16:$N$20,4,FALSE),IF(C108='1. Samenvatting'!$K$9,VLOOKUP('2. Kostprijs per beheertype'!D108,'1. Samenvatting'!$G$16:$N$20,5,FALSE),IF(C108='1. Samenvatting'!$L$9,VLOOKUP('2. Kostprijs per beheertype'!D108,'1. Samenvatting'!$G$16:$N$20,6,FALSE),IF(C108='1. Samenvatting'!$M$9,VLOOKUP('2. Kostprijs per beheertype'!D108,'1. Samenvatting'!$G$16:$N$20,7,FALSE),IF(C108='1. Samenvatting'!$N$9,VLOOKUP('2. Kostprijs per beheertype'!D108,'1. Samenvatting'!$G$16:$N$20,8,FALSE),"Nvt")))))))</f>
        <v>51.288023660578418</v>
      </c>
      <c r="G108" s="368">
        <v>6</v>
      </c>
      <c r="H108" s="367">
        <f t="shared" si="2"/>
        <v>7.2599669334582257</v>
      </c>
      <c r="I108" s="367">
        <f t="shared" si="3"/>
        <v>8.5480039434297357</v>
      </c>
      <c r="J108" s="367">
        <f>'3. Parameters kostprijsmodel'!$F$36</f>
        <v>3.0089563425755728</v>
      </c>
      <c r="K108" s="361">
        <f>SUM(H108:H112)+$J$108</f>
        <v>27.996968874170278</v>
      </c>
      <c r="L108" s="362">
        <f>SUM(I108:I112)+$J$108</f>
        <v>31.172353159782816</v>
      </c>
    </row>
    <row r="109" spans="1:12" s="300" customFormat="1" ht="9" x14ac:dyDescent="0.15">
      <c r="A109" s="400" t="s">
        <v>96</v>
      </c>
      <c r="B109" s="400" t="s">
        <v>97</v>
      </c>
      <c r="C109" s="371" t="s">
        <v>21</v>
      </c>
      <c r="D109" s="372">
        <f>IF(C109='4. Beheertypen complexiteit'!$C$6,VLOOKUP('2. Kostprijs per beheertype'!A109,'4. Beheertypen complexiteit'!$A$8:$I$59,3,FALSE),IF(C109='4. Beheertypen complexiteit'!$D$6,VLOOKUP('2. Kostprijs per beheertype'!A109,'4. Beheertypen complexiteit'!$A$8:$I$59,4,FALSE),IF(C109='4. Beheertypen complexiteit'!$E$6,VLOOKUP('2. Kostprijs per beheertype'!A109,'4. Beheertypen complexiteit'!$A$8:$I$59,5,FALSE),IF(C109='4. Beheertypen complexiteit'!$F$6,VLOOKUP('2. Kostprijs per beheertype'!A109,'4. Beheertypen complexiteit'!$A$8:$I$59,6,FALSE),IF(C109='4. Beheertypen complexiteit'!$G$6,VLOOKUP('2. Kostprijs per beheertype'!A109,'4. Beheertypen complexiteit'!$A$8:$I$59,7,FALSE),IF(C109='4. Beheertypen complexiteit'!$H$6,VLOOKUP('2. Kostprijs per beheertype'!A109,'4. Beheertypen complexiteit'!$A$8:$I$59,8,FALSE),IF(C109='4. Beheertypen complexiteit'!$I$6,VLOOKUP('2. Kostprijs per beheertype'!A109,'4. Beheertypen complexiteit'!$A$8:$I$59,9,FALSE),"Nvt")))))))</f>
        <v>2</v>
      </c>
      <c r="E109" s="373">
        <f>IF(C109='1. Samenvatting'!$H$9,VLOOKUP('2. Kostprijs per beheertype'!D109,'1. Samenvatting'!$G$9:$N$15,2,FALSE),IF(C109='1. Samenvatting'!$I$9,VLOOKUP('2. Kostprijs per beheertype'!D109,'1. Samenvatting'!$G$9:$N$15,3),IF(C109='1. Samenvatting'!$J$9,VLOOKUP('2. Kostprijs per beheertype'!D109,'1. Samenvatting'!$G$9:$N$15,4),IF(C109='1. Samenvatting'!$K$9,VLOOKUP('2. Kostprijs per beheertype'!D109,'1. Samenvatting'!$G$9:$N$15,5),IF(C109='1. Samenvatting'!$L$9,VLOOKUP('2. Kostprijs per beheertype'!D109,'1. Samenvatting'!$G$9:$N$15,6),IF(C109='1. Samenvatting'!$M$9,VLOOKUP('2. Kostprijs per beheertype'!D109,'1. Samenvatting'!$G$9:$N$15,7),IF(C109='1. Samenvatting'!$N$9,VLOOKUP('2. Kostprijs per beheertype'!D109,'1. Samenvatting'!$G$9:$N$15,8),"Nvt")))))))</f>
        <v>34.542464078783418</v>
      </c>
      <c r="F109" s="373">
        <f>IF(C109='1. Samenvatting'!$H$9,VLOOKUP('2. Kostprijs per beheertype'!D109,'1. Samenvatting'!$G$16:$N$20,2,FALSE),IF(C109='1. Samenvatting'!$I$9,VLOOKUP('2. Kostprijs per beheertype'!D109,'1. Samenvatting'!$G$16:$N$20,3,FALSE),IF(C109='1. Samenvatting'!$J$9,VLOOKUP('2. Kostprijs per beheertype'!D109,'1. Samenvatting'!$G$16:$N$20,4,FALSE),IF(C109='1. Samenvatting'!$K$9,VLOOKUP('2. Kostprijs per beheertype'!D109,'1. Samenvatting'!$G$16:$N$20,5,FALSE),IF(C109='1. Samenvatting'!$L$9,VLOOKUP('2. Kostprijs per beheertype'!D109,'1. Samenvatting'!$G$16:$N$20,6,FALSE),IF(C109='1. Samenvatting'!$M$9,VLOOKUP('2. Kostprijs per beheertype'!D109,'1. Samenvatting'!$G$16:$N$20,7,FALSE),IF(C109='1. Samenvatting'!$N$9,VLOOKUP('2. Kostprijs per beheertype'!D109,'1. Samenvatting'!$G$16:$N$20,8,FALSE),"Nvt")))))))</f>
        <v>35.564482732629571</v>
      </c>
      <c r="G109" s="374">
        <v>6</v>
      </c>
      <c r="H109" s="373">
        <f t="shared" si="2"/>
        <v>5.7570773464639027</v>
      </c>
      <c r="I109" s="373">
        <f t="shared" si="3"/>
        <v>5.9274137887715952</v>
      </c>
      <c r="J109" s="373"/>
      <c r="K109" s="393"/>
      <c r="L109" s="394"/>
    </row>
    <row r="110" spans="1:12" s="300" customFormat="1" ht="9" x14ac:dyDescent="0.15">
      <c r="A110" s="400" t="s">
        <v>96</v>
      </c>
      <c r="B110" s="400" t="s">
        <v>97</v>
      </c>
      <c r="C110" s="414" t="s">
        <v>36</v>
      </c>
      <c r="D110" s="415">
        <f>IF(C110='4. Beheertypen complexiteit'!$C$6,VLOOKUP('2. Kostprijs per beheertype'!A110,'4. Beheertypen complexiteit'!$A$8:$I$59,3,FALSE),IF(C110='4. Beheertypen complexiteit'!$D$6,VLOOKUP('2. Kostprijs per beheertype'!A110,'4. Beheertypen complexiteit'!$A$8:$I$59,4,FALSE),IF(C110='4. Beheertypen complexiteit'!$E$6,VLOOKUP('2. Kostprijs per beheertype'!A110,'4. Beheertypen complexiteit'!$A$8:$I$59,5,FALSE),IF(C110='4. Beheertypen complexiteit'!$F$6,VLOOKUP('2. Kostprijs per beheertype'!A110,'4. Beheertypen complexiteit'!$A$8:$I$59,6,FALSE),IF(C110='4. Beheertypen complexiteit'!$G$6,VLOOKUP('2. Kostprijs per beheertype'!A110,'4. Beheertypen complexiteit'!$A$8:$I$59,7,FALSE),IF(C110='4. Beheertypen complexiteit'!$H$6,VLOOKUP('2. Kostprijs per beheertype'!A110,'4. Beheertypen complexiteit'!$A$8:$I$59,8,FALSE),IF(C110='4. Beheertypen complexiteit'!$I$6,VLOOKUP('2. Kostprijs per beheertype'!A110,'4. Beheertypen complexiteit'!$A$8:$I$59,9,FALSE),"Nvt")))))))</f>
        <v>2</v>
      </c>
      <c r="E110" s="416">
        <f>IF(C110='1. Samenvatting'!$H$9,VLOOKUP('2. Kostprijs per beheertype'!D110,'1. Samenvatting'!$G$9:$N$15,2,FALSE),IF(C110='1. Samenvatting'!$I$9,VLOOKUP('2. Kostprijs per beheertype'!D110,'1. Samenvatting'!$G$9:$N$15,3),IF(C110='1. Samenvatting'!$J$9,VLOOKUP('2. Kostprijs per beheertype'!D110,'1. Samenvatting'!$G$9:$N$15,4),IF(C110='1. Samenvatting'!$K$9,VLOOKUP('2. Kostprijs per beheertype'!D110,'1. Samenvatting'!$G$9:$N$15,5),IF(C110='1. Samenvatting'!$L$9,VLOOKUP('2. Kostprijs per beheertype'!D110,'1. Samenvatting'!$G$9:$N$15,6),IF(C110='1. Samenvatting'!$M$9,VLOOKUP('2. Kostprijs per beheertype'!D110,'1. Samenvatting'!$G$9:$N$15,7),IF(C110='1. Samenvatting'!$N$9,VLOOKUP('2. Kostprijs per beheertype'!D110,'1. Samenvatting'!$G$9:$N$15,8),"Nvt")))))))</f>
        <v>33.653086218723409</v>
      </c>
      <c r="F110" s="416">
        <f>IF(C110='1. Samenvatting'!$H$9,VLOOKUP('2. Kostprijs per beheertype'!D110,'1. Samenvatting'!$G$16:$N$20,2,FALSE),IF(C110='1. Samenvatting'!$I$9,VLOOKUP('2. Kostprijs per beheertype'!D110,'1. Samenvatting'!$G$16:$N$20,3,FALSE),IF(C110='1. Samenvatting'!$J$9,VLOOKUP('2. Kostprijs per beheertype'!D110,'1. Samenvatting'!$G$16:$N$20,4,FALSE),IF(C110='1. Samenvatting'!$K$9,VLOOKUP('2. Kostprijs per beheertype'!D110,'1. Samenvatting'!$G$16:$N$20,5,FALSE),IF(C110='1. Samenvatting'!$L$9,VLOOKUP('2. Kostprijs per beheertype'!D110,'1. Samenvatting'!$G$16:$N$20,6,FALSE),IF(C110='1. Samenvatting'!$M$9,VLOOKUP('2. Kostprijs per beheertype'!D110,'1. Samenvatting'!$G$16:$N$20,7,FALSE),IF(C110='1. Samenvatting'!$N$9,VLOOKUP('2. Kostprijs per beheertype'!D110,'1. Samenvatting'!$G$16:$N$20,8,FALSE),"Nvt")))))))</f>
        <v>43.955151218723415</v>
      </c>
      <c r="G110" s="417">
        <v>6</v>
      </c>
      <c r="H110" s="416">
        <f t="shared" si="2"/>
        <v>5.6088477031205679</v>
      </c>
      <c r="I110" s="416">
        <f t="shared" si="3"/>
        <v>7.3258585364539028</v>
      </c>
      <c r="J110" s="416"/>
      <c r="K110" s="393"/>
      <c r="L110" s="394"/>
    </row>
    <row r="111" spans="1:12" s="300" customFormat="1" ht="9" x14ac:dyDescent="0.15">
      <c r="A111" s="400" t="s">
        <v>96</v>
      </c>
      <c r="B111" s="400" t="s">
        <v>97</v>
      </c>
      <c r="C111" s="371" t="s">
        <v>155</v>
      </c>
      <c r="D111" s="372" t="str">
        <f>IF(C111='4. Beheertypen complexiteit'!$C$6,VLOOKUP('2. Kostprijs per beheertype'!A111,'4. Beheertypen complexiteit'!$A$8:$I$59,3,FALSE),IF(C111='4. Beheertypen complexiteit'!$D$6,VLOOKUP('2. Kostprijs per beheertype'!A111,'4. Beheertypen complexiteit'!$A$8:$I$59,4,FALSE),IF(C111='4. Beheertypen complexiteit'!$E$6,VLOOKUP('2. Kostprijs per beheertype'!A111,'4. Beheertypen complexiteit'!$A$8:$I$59,5,FALSE),IF(C111='4. Beheertypen complexiteit'!$F$6,VLOOKUP('2. Kostprijs per beheertype'!A111,'4. Beheertypen complexiteit'!$A$8:$I$59,6,FALSE),IF(C111='4. Beheertypen complexiteit'!$G$6,VLOOKUP('2. Kostprijs per beheertype'!A111,'4. Beheertypen complexiteit'!$A$8:$I$59,7,FALSE),IF(C111='4. Beheertypen complexiteit'!$H$6,VLOOKUP('2. Kostprijs per beheertype'!A111,'4. Beheertypen complexiteit'!$A$8:$I$59,8,FALSE),IF(C111='4. Beheertypen complexiteit'!$I$6,VLOOKUP('2. Kostprijs per beheertype'!A111,'4. Beheertypen complexiteit'!$A$8:$I$59,9,FALSE),"Nvt")))))))</f>
        <v>Nvt</v>
      </c>
      <c r="E111" s="373" t="str">
        <f>IF(C111='1. Samenvatting'!$H$9,VLOOKUP('2. Kostprijs per beheertype'!D111,'1. Samenvatting'!$G$9:$N$15,2,FALSE),IF(C111='1. Samenvatting'!$I$9,VLOOKUP('2. Kostprijs per beheertype'!D111,'1. Samenvatting'!$G$9:$N$15,3),IF(C111='1. Samenvatting'!$J$9,VLOOKUP('2. Kostprijs per beheertype'!D111,'1. Samenvatting'!$G$9:$N$15,4),IF(C111='1. Samenvatting'!$K$9,VLOOKUP('2. Kostprijs per beheertype'!D111,'1. Samenvatting'!$G$9:$N$15,5),IF(C111='1. Samenvatting'!$L$9,VLOOKUP('2. Kostprijs per beheertype'!D111,'1. Samenvatting'!$G$9:$N$15,6),IF(C111='1. Samenvatting'!$M$9,VLOOKUP('2. Kostprijs per beheertype'!D111,'1. Samenvatting'!$G$9:$N$15,7),IF(C111='1. Samenvatting'!$N$9,VLOOKUP('2. Kostprijs per beheertype'!D111,'1. Samenvatting'!$G$9:$N$15,8),"Nvt")))))))</f>
        <v>Nvt</v>
      </c>
      <c r="F111" s="373" t="str">
        <f>IF(C111='1. Samenvatting'!$H$9,VLOOKUP('2. Kostprijs per beheertype'!D111,'1. Samenvatting'!$G$16:$N$20,2,FALSE),IF(C111='1. Samenvatting'!$I$9,VLOOKUP('2. Kostprijs per beheertype'!D111,'1. Samenvatting'!$G$16:$N$20,3,FALSE),IF(C111='1. Samenvatting'!$J$9,VLOOKUP('2. Kostprijs per beheertype'!D111,'1. Samenvatting'!$G$16:$N$20,4,FALSE),IF(C111='1. Samenvatting'!$K$9,VLOOKUP('2. Kostprijs per beheertype'!D111,'1. Samenvatting'!$G$16:$N$20,5,FALSE),IF(C111='1. Samenvatting'!$L$9,VLOOKUP('2. Kostprijs per beheertype'!D111,'1. Samenvatting'!$G$16:$N$20,6,FALSE),IF(C111='1. Samenvatting'!$M$9,VLOOKUP('2. Kostprijs per beheertype'!D111,'1. Samenvatting'!$G$16:$N$20,7,FALSE),IF(C111='1. Samenvatting'!$N$9,VLOOKUP('2. Kostprijs per beheertype'!D111,'1. Samenvatting'!$G$16:$N$20,8,FALSE),"Nvt")))))))</f>
        <v>Nvt</v>
      </c>
      <c r="G111" s="374">
        <v>6</v>
      </c>
      <c r="H111" s="373">
        <f t="shared" si="2"/>
        <v>0</v>
      </c>
      <c r="I111" s="373">
        <f t="shared" si="3"/>
        <v>0</v>
      </c>
      <c r="J111" s="373"/>
      <c r="K111" s="393"/>
      <c r="L111" s="394"/>
    </row>
    <row r="112" spans="1:12" s="300" customFormat="1" ht="9" x14ac:dyDescent="0.15">
      <c r="A112" s="401" t="s">
        <v>96</v>
      </c>
      <c r="B112" s="401" t="s">
        <v>97</v>
      </c>
      <c r="C112" s="418" t="s">
        <v>16</v>
      </c>
      <c r="D112" s="419">
        <f>IF(C112='4. Beheertypen complexiteit'!$C$6,VLOOKUP('2. Kostprijs per beheertype'!A112,'4. Beheertypen complexiteit'!$A$8:$I$59,3,FALSE),IF(C112='4. Beheertypen complexiteit'!$D$6,VLOOKUP('2. Kostprijs per beheertype'!A112,'4. Beheertypen complexiteit'!$A$8:$I$59,4,FALSE),IF(C112='4. Beheertypen complexiteit'!$E$6,VLOOKUP('2. Kostprijs per beheertype'!A112,'4. Beheertypen complexiteit'!$A$8:$I$59,5,FALSE),IF(C112='4. Beheertypen complexiteit'!$F$6,VLOOKUP('2. Kostprijs per beheertype'!A112,'4. Beheertypen complexiteit'!$A$8:$I$59,6,FALSE),IF(C112='4. Beheertypen complexiteit'!$G$6,VLOOKUP('2. Kostprijs per beheertype'!A112,'4. Beheertypen complexiteit'!$A$8:$I$59,7,FALSE),IF(C112='4. Beheertypen complexiteit'!$H$6,VLOOKUP('2. Kostprijs per beheertype'!A112,'4. Beheertypen complexiteit'!$A$8:$I$59,8,FALSE),IF(C112='4. Beheertypen complexiteit'!$I$6,VLOOKUP('2. Kostprijs per beheertype'!A112,'4. Beheertypen complexiteit'!$A$8:$I$59,9,FALSE),"Nvt")))))))</f>
        <v>3</v>
      </c>
      <c r="E112" s="420">
        <f>IF(C112='1. Samenvatting'!$H$9,VLOOKUP('2. Kostprijs per beheertype'!D112,'1. Samenvatting'!$G$9:$N$15,2,FALSE),IF(C112='1. Samenvatting'!$I$9,VLOOKUP('2. Kostprijs per beheertype'!D112,'1. Samenvatting'!$G$9:$N$15,3),IF(C112='1. Samenvatting'!$J$9,VLOOKUP('2. Kostprijs per beheertype'!D112,'1. Samenvatting'!$G$9:$N$15,4),IF(C112='1. Samenvatting'!$K$9,VLOOKUP('2. Kostprijs per beheertype'!D112,'1. Samenvatting'!$G$9:$N$15,5),IF(C112='1. Samenvatting'!$L$9,VLOOKUP('2. Kostprijs per beheertype'!D112,'1. Samenvatting'!$G$9:$N$15,6),IF(C112='1. Samenvatting'!$M$9,VLOOKUP('2. Kostprijs per beheertype'!D112,'1. Samenvatting'!$G$9:$N$15,7),IF(C112='1. Samenvatting'!$N$9,VLOOKUP('2. Kostprijs per beheertype'!D112,'1. Samenvatting'!$G$9:$N$15,8),"Nvt")))))))</f>
        <v>76.345446582624135</v>
      </c>
      <c r="F112" s="420">
        <f>IF(C112='1. Samenvatting'!$H$9,VLOOKUP('2. Kostprijs per beheertype'!D112,'1. Samenvatting'!$G$16:$N$20,2,FALSE),IF(C112='1. Samenvatting'!$I$9,VLOOKUP('2. Kostprijs per beheertype'!D112,'1. Samenvatting'!$G$16:$N$20,3,FALSE),IF(C112='1. Samenvatting'!$J$9,VLOOKUP('2. Kostprijs per beheertype'!D112,'1. Samenvatting'!$G$16:$N$20,4,FALSE),IF(C112='1. Samenvatting'!$K$9,VLOOKUP('2. Kostprijs per beheertype'!D112,'1. Samenvatting'!$G$16:$N$20,5,FALSE),IF(C112='1. Samenvatting'!$L$9,VLOOKUP('2. Kostprijs per beheertype'!D112,'1. Samenvatting'!$G$16:$N$20,6,FALSE),IF(C112='1. Samenvatting'!$M$9,VLOOKUP('2. Kostprijs per beheertype'!D112,'1. Samenvatting'!$G$16:$N$20,7,FALSE),IF(C112='1. Samenvatting'!$N$9,VLOOKUP('2. Kostprijs per beheertype'!D112,'1. Samenvatting'!$G$16:$N$20,8,FALSE),"Nvt")))))))</f>
        <v>76.345446582624135</v>
      </c>
      <c r="G112" s="421">
        <v>12</v>
      </c>
      <c r="H112" s="420">
        <f t="shared" si="2"/>
        <v>6.3621205485520109</v>
      </c>
      <c r="I112" s="420">
        <f t="shared" si="3"/>
        <v>6.3621205485520109</v>
      </c>
      <c r="J112" s="420"/>
      <c r="K112" s="396"/>
      <c r="L112" s="397"/>
    </row>
    <row r="113" spans="1:12" s="300" customFormat="1" ht="9" x14ac:dyDescent="0.15">
      <c r="A113" s="398" t="s">
        <v>98</v>
      </c>
      <c r="B113" s="398" t="s">
        <v>99</v>
      </c>
      <c r="C113" s="365" t="s">
        <v>19</v>
      </c>
      <c r="D113" s="366">
        <f>IF(C113='4. Beheertypen complexiteit'!$C$6,VLOOKUP('2. Kostprijs per beheertype'!A113,'4. Beheertypen complexiteit'!$A$8:$I$59,3,FALSE),IF(C113='4. Beheertypen complexiteit'!$D$6,VLOOKUP('2. Kostprijs per beheertype'!A113,'4. Beheertypen complexiteit'!$A$8:$I$59,4,FALSE),IF(C113='4. Beheertypen complexiteit'!$E$6,VLOOKUP('2. Kostprijs per beheertype'!A113,'4. Beheertypen complexiteit'!$A$8:$I$59,5,FALSE),IF(C113='4. Beheertypen complexiteit'!$F$6,VLOOKUP('2. Kostprijs per beheertype'!A113,'4. Beheertypen complexiteit'!$A$8:$I$59,6,FALSE),IF(C113='4. Beheertypen complexiteit'!$G$6,VLOOKUP('2. Kostprijs per beheertype'!A113,'4. Beheertypen complexiteit'!$A$8:$I$59,7,FALSE),IF(C113='4. Beheertypen complexiteit'!$H$6,VLOOKUP('2. Kostprijs per beheertype'!A113,'4. Beheertypen complexiteit'!$A$8:$I$59,8,FALSE),IF(C113='4. Beheertypen complexiteit'!$I$6,VLOOKUP('2. Kostprijs per beheertype'!A113,'4. Beheertypen complexiteit'!$A$8:$I$59,9,FALSE),"Nvt")))))))</f>
        <v>2</v>
      </c>
      <c r="E113" s="367">
        <f>IF(C113='1. Samenvatting'!$H$9,VLOOKUP('2. Kostprijs per beheertype'!D113,'1. Samenvatting'!$G$9:$N$15,2,FALSE),IF(C113='1. Samenvatting'!$I$9,VLOOKUP('2. Kostprijs per beheertype'!D113,'1. Samenvatting'!$G$9:$N$15,3),IF(C113='1. Samenvatting'!$J$9,VLOOKUP('2. Kostprijs per beheertype'!D113,'1. Samenvatting'!$G$9:$N$15,4),IF(C113='1. Samenvatting'!$K$9,VLOOKUP('2. Kostprijs per beheertype'!D113,'1. Samenvatting'!$G$9:$N$15,5),IF(C113='1. Samenvatting'!$L$9,VLOOKUP('2. Kostprijs per beheertype'!D113,'1. Samenvatting'!$G$9:$N$15,6),IF(C113='1. Samenvatting'!$M$9,VLOOKUP('2. Kostprijs per beheertype'!D113,'1. Samenvatting'!$G$9:$N$15,7),IF(C113='1. Samenvatting'!$N$9,VLOOKUP('2. Kostprijs per beheertype'!D113,'1. Samenvatting'!$G$9:$N$15,8),"Nvt")))))))</f>
        <v>55.738852766567376</v>
      </c>
      <c r="F113" s="367">
        <f>IF(C113='1. Samenvatting'!$H$9,VLOOKUP('2. Kostprijs per beheertype'!D113,'1. Samenvatting'!$G$16:$N$20,2,FALSE),IF(C113='1. Samenvatting'!$I$9,VLOOKUP('2. Kostprijs per beheertype'!D113,'1. Samenvatting'!$G$16:$N$20,3,FALSE),IF(C113='1. Samenvatting'!$J$9,VLOOKUP('2. Kostprijs per beheertype'!D113,'1. Samenvatting'!$G$16:$N$20,4,FALSE),IF(C113='1. Samenvatting'!$K$9,VLOOKUP('2. Kostprijs per beheertype'!D113,'1. Samenvatting'!$G$16:$N$20,5,FALSE),IF(C113='1. Samenvatting'!$L$9,VLOOKUP('2. Kostprijs per beheertype'!D113,'1. Samenvatting'!$G$16:$N$20,6,FALSE),IF(C113='1. Samenvatting'!$M$9,VLOOKUP('2. Kostprijs per beheertype'!D113,'1. Samenvatting'!$G$16:$N$20,7,FALSE),IF(C113='1. Samenvatting'!$N$9,VLOOKUP('2. Kostprijs per beheertype'!D113,'1. Samenvatting'!$G$16:$N$20,8,FALSE),"Nvt")))))))</f>
        <v>66.622547266567381</v>
      </c>
      <c r="G113" s="368">
        <v>6</v>
      </c>
      <c r="H113" s="367">
        <f t="shared" si="2"/>
        <v>9.2898087944278966</v>
      </c>
      <c r="I113" s="367">
        <f t="shared" si="3"/>
        <v>11.103757877761231</v>
      </c>
      <c r="J113" s="367">
        <f>'3. Parameters kostprijsmodel'!$F$36</f>
        <v>3.0089563425755728</v>
      </c>
      <c r="K113" s="361">
        <f>SUM(H113:H116)+$J$113</f>
        <v>28.403175244971493</v>
      </c>
      <c r="L113" s="362">
        <f>SUM(I113:I116)+$J$113</f>
        <v>30.38746077061252</v>
      </c>
    </row>
    <row r="114" spans="1:12" s="300" customFormat="1" ht="9" x14ac:dyDescent="0.15">
      <c r="A114" s="400" t="s">
        <v>98</v>
      </c>
      <c r="B114" s="400" t="s">
        <v>99</v>
      </c>
      <c r="C114" s="371" t="s">
        <v>21</v>
      </c>
      <c r="D114" s="372">
        <f>IF(C114='4. Beheertypen complexiteit'!$C$6,VLOOKUP('2. Kostprijs per beheertype'!A114,'4. Beheertypen complexiteit'!$A$8:$I$59,3,FALSE),IF(C114='4. Beheertypen complexiteit'!$D$6,VLOOKUP('2. Kostprijs per beheertype'!A114,'4. Beheertypen complexiteit'!$A$8:$I$59,4,FALSE),IF(C114='4. Beheertypen complexiteit'!$E$6,VLOOKUP('2. Kostprijs per beheertype'!A114,'4. Beheertypen complexiteit'!$A$8:$I$59,5,FALSE),IF(C114='4. Beheertypen complexiteit'!$F$6,VLOOKUP('2. Kostprijs per beheertype'!A114,'4. Beheertypen complexiteit'!$A$8:$I$59,6,FALSE),IF(C114='4. Beheertypen complexiteit'!$G$6,VLOOKUP('2. Kostprijs per beheertype'!A114,'4. Beheertypen complexiteit'!$A$8:$I$59,7,FALSE),IF(C114='4. Beheertypen complexiteit'!$H$6,VLOOKUP('2. Kostprijs per beheertype'!A114,'4. Beheertypen complexiteit'!$A$8:$I$59,8,FALSE),IF(C114='4. Beheertypen complexiteit'!$I$6,VLOOKUP('2. Kostprijs per beheertype'!A114,'4. Beheertypen complexiteit'!$A$8:$I$59,9,FALSE),"Nvt")))))))</f>
        <v>2</v>
      </c>
      <c r="E114" s="373">
        <f>IF(C114='1. Samenvatting'!$H$9,VLOOKUP('2. Kostprijs per beheertype'!D114,'1. Samenvatting'!$G$9:$N$15,2,FALSE),IF(C114='1. Samenvatting'!$I$9,VLOOKUP('2. Kostprijs per beheertype'!D114,'1. Samenvatting'!$G$9:$N$15,3),IF(C114='1. Samenvatting'!$J$9,VLOOKUP('2. Kostprijs per beheertype'!D114,'1. Samenvatting'!$G$9:$N$15,4),IF(C114='1. Samenvatting'!$K$9,VLOOKUP('2. Kostprijs per beheertype'!D114,'1. Samenvatting'!$G$9:$N$15,5),IF(C114='1. Samenvatting'!$L$9,VLOOKUP('2. Kostprijs per beheertype'!D114,'1. Samenvatting'!$G$9:$N$15,6),IF(C114='1. Samenvatting'!$M$9,VLOOKUP('2. Kostprijs per beheertype'!D114,'1. Samenvatting'!$G$9:$N$15,7),IF(C114='1. Samenvatting'!$N$9,VLOOKUP('2. Kostprijs per beheertype'!D114,'1. Samenvatting'!$G$9:$N$15,8),"Nvt")))))))</f>
        <v>34.542464078783418</v>
      </c>
      <c r="F114" s="373">
        <f>IF(C114='1. Samenvatting'!$H$9,VLOOKUP('2. Kostprijs per beheertype'!D114,'1. Samenvatting'!$G$16:$N$20,2,FALSE),IF(C114='1. Samenvatting'!$I$9,VLOOKUP('2. Kostprijs per beheertype'!D114,'1. Samenvatting'!$G$16:$N$20,3,FALSE),IF(C114='1. Samenvatting'!$J$9,VLOOKUP('2. Kostprijs per beheertype'!D114,'1. Samenvatting'!$G$16:$N$20,4,FALSE),IF(C114='1. Samenvatting'!$K$9,VLOOKUP('2. Kostprijs per beheertype'!D114,'1. Samenvatting'!$G$16:$N$20,5,FALSE),IF(C114='1. Samenvatting'!$L$9,VLOOKUP('2. Kostprijs per beheertype'!D114,'1. Samenvatting'!$G$16:$N$20,6,FALSE),IF(C114='1. Samenvatting'!$M$9,VLOOKUP('2. Kostprijs per beheertype'!D114,'1. Samenvatting'!$G$16:$N$20,7,FALSE),IF(C114='1. Samenvatting'!$N$9,VLOOKUP('2. Kostprijs per beheertype'!D114,'1. Samenvatting'!$G$16:$N$20,8,FALSE),"Nvt")))))))</f>
        <v>35.564482732629571</v>
      </c>
      <c r="G114" s="374">
        <v>6</v>
      </c>
      <c r="H114" s="373">
        <f t="shared" si="2"/>
        <v>5.7570773464639027</v>
      </c>
      <c r="I114" s="373">
        <f t="shared" si="3"/>
        <v>5.9274137887715952</v>
      </c>
      <c r="J114" s="373"/>
      <c r="K114" s="393"/>
      <c r="L114" s="394"/>
    </row>
    <row r="115" spans="1:12" s="300" customFormat="1" ht="9" x14ac:dyDescent="0.15">
      <c r="A115" s="400" t="s">
        <v>98</v>
      </c>
      <c r="B115" s="400" t="s">
        <v>99</v>
      </c>
      <c r="C115" s="371" t="s">
        <v>155</v>
      </c>
      <c r="D115" s="372" t="str">
        <f>IF(C115='4. Beheertypen complexiteit'!$C$6,VLOOKUP('2. Kostprijs per beheertype'!A115,'4. Beheertypen complexiteit'!$A$8:$I$59,3,FALSE),IF(C115='4. Beheertypen complexiteit'!$D$6,VLOOKUP('2. Kostprijs per beheertype'!A115,'4. Beheertypen complexiteit'!$A$8:$I$59,4,FALSE),IF(C115='4. Beheertypen complexiteit'!$E$6,VLOOKUP('2. Kostprijs per beheertype'!A115,'4. Beheertypen complexiteit'!$A$8:$I$59,5,FALSE),IF(C115='4. Beheertypen complexiteit'!$F$6,VLOOKUP('2. Kostprijs per beheertype'!A115,'4. Beheertypen complexiteit'!$A$8:$I$59,6,FALSE),IF(C115='4. Beheertypen complexiteit'!$G$6,VLOOKUP('2. Kostprijs per beheertype'!A115,'4. Beheertypen complexiteit'!$A$8:$I$59,7,FALSE),IF(C115='4. Beheertypen complexiteit'!$H$6,VLOOKUP('2. Kostprijs per beheertype'!A115,'4. Beheertypen complexiteit'!$A$8:$I$59,8,FALSE),IF(C115='4. Beheertypen complexiteit'!$I$6,VLOOKUP('2. Kostprijs per beheertype'!A115,'4. Beheertypen complexiteit'!$A$8:$I$59,9,FALSE),"Nvt")))))))</f>
        <v>Nvt</v>
      </c>
      <c r="E115" s="373" t="str">
        <f>IF(C115='1. Samenvatting'!$H$9,VLOOKUP('2. Kostprijs per beheertype'!D115,'1. Samenvatting'!$G$9:$N$15,2,FALSE),IF(C115='1. Samenvatting'!$I$9,VLOOKUP('2. Kostprijs per beheertype'!D115,'1. Samenvatting'!$G$9:$N$15,3),IF(C115='1. Samenvatting'!$J$9,VLOOKUP('2. Kostprijs per beheertype'!D115,'1. Samenvatting'!$G$9:$N$15,4),IF(C115='1. Samenvatting'!$K$9,VLOOKUP('2. Kostprijs per beheertype'!D115,'1. Samenvatting'!$G$9:$N$15,5),IF(C115='1. Samenvatting'!$L$9,VLOOKUP('2. Kostprijs per beheertype'!D115,'1. Samenvatting'!$G$9:$N$15,6),IF(C115='1. Samenvatting'!$M$9,VLOOKUP('2. Kostprijs per beheertype'!D115,'1. Samenvatting'!$G$9:$N$15,7),IF(C115='1. Samenvatting'!$N$9,VLOOKUP('2. Kostprijs per beheertype'!D115,'1. Samenvatting'!$G$9:$N$15,8),"Nvt")))))))</f>
        <v>Nvt</v>
      </c>
      <c r="F115" s="373" t="str">
        <f>IF(C115='1. Samenvatting'!$H$9,VLOOKUP('2. Kostprijs per beheertype'!D115,'1. Samenvatting'!$G$16:$N$20,2,FALSE),IF(C115='1. Samenvatting'!$I$9,VLOOKUP('2. Kostprijs per beheertype'!D115,'1. Samenvatting'!$G$16:$N$20,3,FALSE),IF(C115='1. Samenvatting'!$J$9,VLOOKUP('2. Kostprijs per beheertype'!D115,'1. Samenvatting'!$G$16:$N$20,4,FALSE),IF(C115='1. Samenvatting'!$K$9,VLOOKUP('2. Kostprijs per beheertype'!D115,'1. Samenvatting'!$G$16:$N$20,5,FALSE),IF(C115='1. Samenvatting'!$L$9,VLOOKUP('2. Kostprijs per beheertype'!D115,'1. Samenvatting'!$G$16:$N$20,6,FALSE),IF(C115='1. Samenvatting'!$M$9,VLOOKUP('2. Kostprijs per beheertype'!D115,'1. Samenvatting'!$G$16:$N$20,7,FALSE),IF(C115='1. Samenvatting'!$N$9,VLOOKUP('2. Kostprijs per beheertype'!D115,'1. Samenvatting'!$G$16:$N$20,8,FALSE),"Nvt")))))))</f>
        <v>Nvt</v>
      </c>
      <c r="G115" s="374">
        <v>6</v>
      </c>
      <c r="H115" s="373">
        <f t="shared" si="2"/>
        <v>0</v>
      </c>
      <c r="I115" s="373">
        <f t="shared" si="3"/>
        <v>0</v>
      </c>
      <c r="J115" s="373"/>
      <c r="K115" s="393"/>
      <c r="L115" s="394"/>
    </row>
    <row r="116" spans="1:12" s="300" customFormat="1" ht="9" x14ac:dyDescent="0.15">
      <c r="A116" s="401" t="s">
        <v>98</v>
      </c>
      <c r="B116" s="401" t="s">
        <v>99</v>
      </c>
      <c r="C116" s="379" t="s">
        <v>16</v>
      </c>
      <c r="D116" s="380">
        <f>IF(C116='4. Beheertypen complexiteit'!$C$6,VLOOKUP('2. Kostprijs per beheertype'!A116,'4. Beheertypen complexiteit'!$A$8:$I$59,3,FALSE),IF(C116='4. Beheertypen complexiteit'!$D$6,VLOOKUP('2. Kostprijs per beheertype'!A116,'4. Beheertypen complexiteit'!$A$8:$I$59,4,FALSE),IF(C116='4. Beheertypen complexiteit'!$E$6,VLOOKUP('2. Kostprijs per beheertype'!A116,'4. Beheertypen complexiteit'!$A$8:$I$59,5,FALSE),IF(C116='4. Beheertypen complexiteit'!$F$6,VLOOKUP('2. Kostprijs per beheertype'!A116,'4. Beheertypen complexiteit'!$A$8:$I$59,6,FALSE),IF(C116='4. Beheertypen complexiteit'!$G$6,VLOOKUP('2. Kostprijs per beheertype'!A116,'4. Beheertypen complexiteit'!$A$8:$I$59,7,FALSE),IF(C116='4. Beheertypen complexiteit'!$H$6,VLOOKUP('2. Kostprijs per beheertype'!A116,'4. Beheertypen complexiteit'!$A$8:$I$59,8,FALSE),IF(C116='4. Beheertypen complexiteit'!$I$6,VLOOKUP('2. Kostprijs per beheertype'!A116,'4. Beheertypen complexiteit'!$A$8:$I$59,9,FALSE),"Nvt")))))))</f>
        <v>2</v>
      </c>
      <c r="E116" s="381">
        <f>IF(C116='1. Samenvatting'!$H$9,VLOOKUP('2. Kostprijs per beheertype'!D116,'1. Samenvatting'!$G$9:$N$15,2,FALSE),IF(C116='1. Samenvatting'!$I$9,VLOOKUP('2. Kostprijs per beheertype'!D116,'1. Samenvatting'!$G$9:$N$15,3),IF(C116='1. Samenvatting'!$J$9,VLOOKUP('2. Kostprijs per beheertype'!D116,'1. Samenvatting'!$G$9:$N$15,4),IF(C116='1. Samenvatting'!$K$9,VLOOKUP('2. Kostprijs per beheertype'!D116,'1. Samenvatting'!$G$9:$N$15,5),IF(C116='1. Samenvatting'!$L$9,VLOOKUP('2. Kostprijs per beheertype'!D116,'1. Samenvatting'!$G$9:$N$15,6),IF(C116='1. Samenvatting'!$M$9,VLOOKUP('2. Kostprijs per beheertype'!D116,'1. Samenvatting'!$G$9:$N$15,7),IF(C116='1. Samenvatting'!$N$9,VLOOKUP('2. Kostprijs per beheertype'!D116,'1. Samenvatting'!$G$9:$N$15,8),"Nvt")))))))</f>
        <v>124.16799313804943</v>
      </c>
      <c r="F116" s="381">
        <f>IF(C116='1. Samenvatting'!$H$9,VLOOKUP('2. Kostprijs per beheertype'!D116,'1. Samenvatting'!$G$16:$N$20,2,FALSE),IF(C116='1. Samenvatting'!$I$9,VLOOKUP('2. Kostprijs per beheertype'!D116,'1. Samenvatting'!$G$16:$N$20,3,FALSE),IF(C116='1. Samenvatting'!$J$9,VLOOKUP('2. Kostprijs per beheertype'!D116,'1. Samenvatting'!$G$16:$N$20,4,FALSE),IF(C116='1. Samenvatting'!$K$9,VLOOKUP('2. Kostprijs per beheertype'!D116,'1. Samenvatting'!$G$16:$N$20,5,FALSE),IF(C116='1. Samenvatting'!$L$9,VLOOKUP('2. Kostprijs per beheertype'!D116,'1. Samenvatting'!$G$16:$N$20,6,FALSE),IF(C116='1. Samenvatting'!$M$9,VLOOKUP('2. Kostprijs per beheertype'!D116,'1. Samenvatting'!$G$16:$N$20,7,FALSE),IF(C116='1. Samenvatting'!$N$9,VLOOKUP('2. Kostprijs per beheertype'!D116,'1. Samenvatting'!$G$16:$N$20,8,FALSE),"Nvt")))))))</f>
        <v>124.16799313804943</v>
      </c>
      <c r="G116" s="382">
        <v>12</v>
      </c>
      <c r="H116" s="381">
        <f t="shared" si="2"/>
        <v>10.347332761504118</v>
      </c>
      <c r="I116" s="381">
        <f t="shared" si="3"/>
        <v>10.347332761504118</v>
      </c>
      <c r="J116" s="381"/>
      <c r="K116" s="396"/>
      <c r="L116" s="397"/>
    </row>
    <row r="117" spans="1:12" s="300" customFormat="1" ht="9" x14ac:dyDescent="0.15">
      <c r="A117" s="398" t="s">
        <v>100</v>
      </c>
      <c r="B117" s="398" t="s">
        <v>101</v>
      </c>
      <c r="C117" s="365" t="s">
        <v>19</v>
      </c>
      <c r="D117" s="366">
        <f>IF(C117='4. Beheertypen complexiteit'!$C$6,VLOOKUP('2. Kostprijs per beheertype'!A117,'4. Beheertypen complexiteit'!$A$8:$I$59,3,FALSE),IF(C117='4. Beheertypen complexiteit'!$D$6,VLOOKUP('2. Kostprijs per beheertype'!A117,'4. Beheertypen complexiteit'!$A$8:$I$59,4,FALSE),IF(C117='4. Beheertypen complexiteit'!$E$6,VLOOKUP('2. Kostprijs per beheertype'!A117,'4. Beheertypen complexiteit'!$A$8:$I$59,5,FALSE),IF(C117='4. Beheertypen complexiteit'!$F$6,VLOOKUP('2. Kostprijs per beheertype'!A117,'4. Beheertypen complexiteit'!$A$8:$I$59,6,FALSE),IF(C117='4. Beheertypen complexiteit'!$G$6,VLOOKUP('2. Kostprijs per beheertype'!A117,'4. Beheertypen complexiteit'!$A$8:$I$59,7,FALSE),IF(C117='4. Beheertypen complexiteit'!$H$6,VLOOKUP('2. Kostprijs per beheertype'!A117,'4. Beheertypen complexiteit'!$A$8:$I$59,8,FALSE),IF(C117='4. Beheertypen complexiteit'!$I$6,VLOOKUP('2. Kostprijs per beheertype'!A117,'4. Beheertypen complexiteit'!$A$8:$I$59,9,FALSE),"Nvt")))))))</f>
        <v>1</v>
      </c>
      <c r="E117" s="367">
        <f>IF(C117='1. Samenvatting'!$H$9,VLOOKUP('2. Kostprijs per beheertype'!D117,'1. Samenvatting'!$G$9:$N$15,2,FALSE),IF(C117='1. Samenvatting'!$I$9,VLOOKUP('2. Kostprijs per beheertype'!D117,'1. Samenvatting'!$G$9:$N$15,3),IF(C117='1. Samenvatting'!$J$9,VLOOKUP('2. Kostprijs per beheertype'!D117,'1. Samenvatting'!$G$9:$N$15,4),IF(C117='1. Samenvatting'!$K$9,VLOOKUP('2. Kostprijs per beheertype'!D117,'1. Samenvatting'!$G$9:$N$15,5),IF(C117='1. Samenvatting'!$L$9,VLOOKUP('2. Kostprijs per beheertype'!D117,'1. Samenvatting'!$G$9:$N$15,6),IF(C117='1. Samenvatting'!$M$9,VLOOKUP('2. Kostprijs per beheertype'!D117,'1. Samenvatting'!$G$9:$N$15,7),IF(C117='1. Samenvatting'!$N$9,VLOOKUP('2. Kostprijs per beheertype'!D117,'1. Samenvatting'!$G$9:$N$15,8),"Nvt")))))))</f>
        <v>92.159399805164711</v>
      </c>
      <c r="F117" s="367">
        <f>IF(C117='1. Samenvatting'!$H$9,VLOOKUP('2. Kostprijs per beheertype'!D117,'1. Samenvatting'!$G$16:$N$20,2,FALSE),IF(C117='1. Samenvatting'!$I$9,VLOOKUP('2. Kostprijs per beheertype'!D117,'1. Samenvatting'!$G$16:$N$20,3,FALSE),IF(C117='1. Samenvatting'!$J$9,VLOOKUP('2. Kostprijs per beheertype'!D117,'1. Samenvatting'!$G$16:$N$20,4,FALSE),IF(C117='1. Samenvatting'!$K$9,VLOOKUP('2. Kostprijs per beheertype'!D117,'1. Samenvatting'!$G$16:$N$20,5,FALSE),IF(C117='1. Samenvatting'!$L$9,VLOOKUP('2. Kostprijs per beheertype'!D117,'1. Samenvatting'!$G$16:$N$20,6,FALSE),IF(C117='1. Samenvatting'!$M$9,VLOOKUP('2. Kostprijs per beheertype'!D117,'1. Samenvatting'!$G$16:$N$20,7,FALSE),IF(C117='1. Samenvatting'!$N$9,VLOOKUP('2. Kostprijs per beheertype'!D117,'1. Samenvatting'!$G$16:$N$20,8,FALSE),"Nvt")))))))</f>
        <v>112.82583216627582</v>
      </c>
      <c r="G117" s="368">
        <v>6</v>
      </c>
      <c r="H117" s="367">
        <f t="shared" si="2"/>
        <v>15.359899967527452</v>
      </c>
      <c r="I117" s="367">
        <f t="shared" si="3"/>
        <v>18.804305361045969</v>
      </c>
      <c r="J117" s="367">
        <f>'3. Parameters kostprijsmodel'!$F$36</f>
        <v>3.0089563425755728</v>
      </c>
      <c r="K117" s="361">
        <f>SUM(H117:H120)+J117</f>
        <v>54.892523793241267</v>
      </c>
      <c r="L117" s="362">
        <f>SUM(I117:I120)+J117</f>
        <v>62.199384108202722</v>
      </c>
    </row>
    <row r="118" spans="1:12" s="300" customFormat="1" ht="9" x14ac:dyDescent="0.15">
      <c r="A118" s="400" t="s">
        <v>100</v>
      </c>
      <c r="B118" s="400" t="s">
        <v>101</v>
      </c>
      <c r="C118" s="371" t="s">
        <v>21</v>
      </c>
      <c r="D118" s="372">
        <f>IF(C118='4. Beheertypen complexiteit'!$C$6,VLOOKUP('2. Kostprijs per beheertype'!A118,'4. Beheertypen complexiteit'!$A$8:$I$59,3,FALSE),IF(C118='4. Beheertypen complexiteit'!$D$6,VLOOKUP('2. Kostprijs per beheertype'!A118,'4. Beheertypen complexiteit'!$A$8:$I$59,4,FALSE),IF(C118='4. Beheertypen complexiteit'!$E$6,VLOOKUP('2. Kostprijs per beheertype'!A118,'4. Beheertypen complexiteit'!$A$8:$I$59,5,FALSE),IF(C118='4. Beheertypen complexiteit'!$F$6,VLOOKUP('2. Kostprijs per beheertype'!A118,'4. Beheertypen complexiteit'!$A$8:$I$59,6,FALSE),IF(C118='4. Beheertypen complexiteit'!$G$6,VLOOKUP('2. Kostprijs per beheertype'!A118,'4. Beheertypen complexiteit'!$A$8:$I$59,7,FALSE),IF(C118='4. Beheertypen complexiteit'!$H$6,VLOOKUP('2. Kostprijs per beheertype'!A118,'4. Beheertypen complexiteit'!$A$8:$I$59,8,FALSE),IF(C118='4. Beheertypen complexiteit'!$I$6,VLOOKUP('2. Kostprijs per beheertype'!A118,'4. Beheertypen complexiteit'!$A$8:$I$59,9,FALSE),"Nvt")))))))</f>
        <v>1</v>
      </c>
      <c r="E118" s="373">
        <f>IF(C118='1. Samenvatting'!$H$9,VLOOKUP('2. Kostprijs per beheertype'!D118,'1. Samenvatting'!$G$9:$N$15,2,FALSE),IF(C118='1. Samenvatting'!$I$9,VLOOKUP('2. Kostprijs per beheertype'!D118,'1. Samenvatting'!$G$9:$N$15,3),IF(C118='1. Samenvatting'!$J$9,VLOOKUP('2. Kostprijs per beheertype'!D118,'1. Samenvatting'!$G$9:$N$15,4),IF(C118='1. Samenvatting'!$K$9,VLOOKUP('2. Kostprijs per beheertype'!D118,'1. Samenvatting'!$G$9:$N$15,5),IF(C118='1. Samenvatting'!$L$9,VLOOKUP('2. Kostprijs per beheertype'!D118,'1. Samenvatting'!$G$9:$N$15,6),IF(C118='1. Samenvatting'!$M$9,VLOOKUP('2. Kostprijs per beheertype'!D118,'1. Samenvatting'!$G$9:$N$15,7),IF(C118='1. Samenvatting'!$N$9,VLOOKUP('2. Kostprijs per beheertype'!D118,'1. Samenvatting'!$G$9:$N$15,8),"Nvt")))))))</f>
        <v>50.928209617678966</v>
      </c>
      <c r="F118" s="373">
        <f>IF(C118='1. Samenvatting'!$H$9,VLOOKUP('2. Kostprijs per beheertype'!D118,'1. Samenvatting'!$G$16:$N$20,2,FALSE),IF(C118='1. Samenvatting'!$I$9,VLOOKUP('2. Kostprijs per beheertype'!D118,'1. Samenvatting'!$G$16:$N$20,3,FALSE),IF(C118='1. Samenvatting'!$J$9,VLOOKUP('2. Kostprijs per beheertype'!D118,'1. Samenvatting'!$G$16:$N$20,4,FALSE),IF(C118='1. Samenvatting'!$K$9,VLOOKUP('2. Kostprijs per beheertype'!D118,'1. Samenvatting'!$G$16:$N$20,5,FALSE),IF(C118='1. Samenvatting'!$L$9,VLOOKUP('2. Kostprijs per beheertype'!D118,'1. Samenvatting'!$G$16:$N$20,6,FALSE),IF(C118='1. Samenvatting'!$M$9,VLOOKUP('2. Kostprijs per beheertype'!D118,'1. Samenvatting'!$G$16:$N$20,7,FALSE),IF(C118='1. Samenvatting'!$N$9,VLOOKUP('2. Kostprijs per beheertype'!D118,'1. Samenvatting'!$G$16:$N$20,8,FALSE),"Nvt")))))))</f>
        <v>52.877897479669919</v>
      </c>
      <c r="G118" s="374">
        <v>6</v>
      </c>
      <c r="H118" s="373">
        <f t="shared" si="2"/>
        <v>8.4880349362798277</v>
      </c>
      <c r="I118" s="373">
        <f t="shared" si="3"/>
        <v>8.8129829132783204</v>
      </c>
      <c r="J118" s="373"/>
      <c r="K118" s="393"/>
      <c r="L118" s="394"/>
    </row>
    <row r="119" spans="1:12" s="300" customFormat="1" ht="9" x14ac:dyDescent="0.15">
      <c r="A119" s="400" t="s">
        <v>100</v>
      </c>
      <c r="B119" s="400" t="s">
        <v>101</v>
      </c>
      <c r="C119" s="414" t="s">
        <v>36</v>
      </c>
      <c r="D119" s="415">
        <f>IF(C119='4. Beheertypen complexiteit'!$C$6,VLOOKUP('2. Kostprijs per beheertype'!A119,'4. Beheertypen complexiteit'!$A$8:$I$59,3,FALSE),IF(C119='4. Beheertypen complexiteit'!$D$6,VLOOKUP('2. Kostprijs per beheertype'!A119,'4. Beheertypen complexiteit'!$A$8:$I$59,4,FALSE),IF(C119='4. Beheertypen complexiteit'!$E$6,VLOOKUP('2. Kostprijs per beheertype'!A119,'4. Beheertypen complexiteit'!$A$8:$I$59,5,FALSE),IF(C119='4. Beheertypen complexiteit'!$F$6,VLOOKUP('2. Kostprijs per beheertype'!A119,'4. Beheertypen complexiteit'!$A$8:$I$59,6,FALSE),IF(C119='4. Beheertypen complexiteit'!$G$6,VLOOKUP('2. Kostprijs per beheertype'!A119,'4. Beheertypen complexiteit'!$A$8:$I$59,7,FALSE),IF(C119='4. Beheertypen complexiteit'!$H$6,VLOOKUP('2. Kostprijs per beheertype'!A119,'4. Beheertypen complexiteit'!$A$8:$I$59,8,FALSE),IF(C119='4. Beheertypen complexiteit'!$I$6,VLOOKUP('2. Kostprijs per beheertype'!A119,'4. Beheertypen complexiteit'!$A$8:$I$59,9,FALSE),"Nvt")))))))</f>
        <v>1</v>
      </c>
      <c r="E119" s="416">
        <f>IF(C119='1. Samenvatting'!$H$9,VLOOKUP('2. Kostprijs per beheertype'!D119,'1. Samenvatting'!$G$9:$N$15,2,FALSE),IF(C119='1. Samenvatting'!$I$9,VLOOKUP('2. Kostprijs per beheertype'!D119,'1. Samenvatting'!$G$9:$N$15,3),IF(C119='1. Samenvatting'!$J$9,VLOOKUP('2. Kostprijs per beheertype'!D119,'1. Samenvatting'!$G$9:$N$15,4),IF(C119='1. Samenvatting'!$K$9,VLOOKUP('2. Kostprijs per beheertype'!D119,'1. Samenvatting'!$G$9:$N$15,5),IF(C119='1. Samenvatting'!$L$9,VLOOKUP('2. Kostprijs per beheertype'!D119,'1. Samenvatting'!$G$9:$N$15,6),IF(C119='1. Samenvatting'!$M$9,VLOOKUP('2. Kostprijs per beheertype'!D119,'1. Samenvatting'!$G$9:$N$15,7),IF(C119='1. Samenvatting'!$N$9,VLOOKUP('2. Kostprijs per beheertype'!D119,'1. Samenvatting'!$G$9:$N$15,8),"Nvt")))))))</f>
        <v>44.576062885390066</v>
      </c>
      <c r="F119" s="416">
        <f>IF(C119='1. Samenvatting'!$H$9,VLOOKUP('2. Kostprijs per beheertype'!D119,'1. Samenvatting'!$G$16:$N$20,2,FALSE),IF(C119='1. Samenvatting'!$I$9,VLOOKUP('2. Kostprijs per beheertype'!D119,'1. Samenvatting'!$G$16:$N$20,3,FALSE),IF(C119='1. Samenvatting'!$J$9,VLOOKUP('2. Kostprijs per beheertype'!D119,'1. Samenvatting'!$G$16:$N$20,4,FALSE),IF(C119='1. Samenvatting'!$K$9,VLOOKUP('2. Kostprijs per beheertype'!D119,'1. Samenvatting'!$G$16:$N$20,5,FALSE),IF(C119='1. Samenvatting'!$L$9,VLOOKUP('2. Kostprijs per beheertype'!D119,'1. Samenvatting'!$G$16:$N$20,6,FALSE),IF(C119='1. Samenvatting'!$M$9,VLOOKUP('2. Kostprijs per beheertype'!D119,'1. Samenvatting'!$G$16:$N$20,7,FALSE),IF(C119='1. Samenvatting'!$N$9,VLOOKUP('2. Kostprijs per beheertype'!D119,'1. Samenvatting'!$G$16:$N$20,8,FALSE),"Nvt")))))))</f>
        <v>65.801104552056728</v>
      </c>
      <c r="G119" s="417">
        <v>6</v>
      </c>
      <c r="H119" s="416">
        <f t="shared" si="2"/>
        <v>7.4293438142316779</v>
      </c>
      <c r="I119" s="416">
        <f t="shared" si="3"/>
        <v>10.966850758676122</v>
      </c>
      <c r="J119" s="416"/>
      <c r="K119" s="393"/>
      <c r="L119" s="394"/>
    </row>
    <row r="120" spans="1:12" s="300" customFormat="1" ht="9" x14ac:dyDescent="0.15">
      <c r="A120" s="401" t="s">
        <v>100</v>
      </c>
      <c r="B120" s="401" t="s">
        <v>101</v>
      </c>
      <c r="C120" s="379" t="s">
        <v>16</v>
      </c>
      <c r="D120" s="380">
        <f>IF(C120='4. Beheertypen complexiteit'!$C$6,VLOOKUP('2. Kostprijs per beheertype'!A120,'4. Beheertypen complexiteit'!$A$8:$I$59,3,FALSE),IF(C120='4. Beheertypen complexiteit'!$D$6,VLOOKUP('2. Kostprijs per beheertype'!A120,'4. Beheertypen complexiteit'!$A$8:$I$59,4,FALSE),IF(C120='4. Beheertypen complexiteit'!$E$6,VLOOKUP('2. Kostprijs per beheertype'!A120,'4. Beheertypen complexiteit'!$A$8:$I$59,5,FALSE),IF(C120='4. Beheertypen complexiteit'!$F$6,VLOOKUP('2. Kostprijs per beheertype'!A120,'4. Beheertypen complexiteit'!$A$8:$I$59,6,FALSE),IF(C120='4. Beheertypen complexiteit'!$G$6,VLOOKUP('2. Kostprijs per beheertype'!A120,'4. Beheertypen complexiteit'!$A$8:$I$59,7,FALSE),IF(C120='4. Beheertypen complexiteit'!$H$6,VLOOKUP('2. Kostprijs per beheertype'!A120,'4. Beheertypen complexiteit'!$A$8:$I$59,8,FALSE),IF(C120='4. Beheertypen complexiteit'!$I$6,VLOOKUP('2. Kostprijs per beheertype'!A120,'4. Beheertypen complexiteit'!$A$8:$I$59,9,FALSE),"Nvt")))))))</f>
        <v>1</v>
      </c>
      <c r="E120" s="381">
        <f>IF(C120='1. Samenvatting'!$H$9,VLOOKUP('2. Kostprijs per beheertype'!D120,'1. Samenvatting'!$G$9:$N$15,2,FALSE),IF(C120='1. Samenvatting'!$I$9,VLOOKUP('2. Kostprijs per beheertype'!D120,'1. Samenvatting'!$G$9:$N$15,3),IF(C120='1. Samenvatting'!$J$9,VLOOKUP('2. Kostprijs per beheertype'!D120,'1. Samenvatting'!$G$9:$N$15,4),IF(C120='1. Samenvatting'!$K$9,VLOOKUP('2. Kostprijs per beheertype'!D120,'1. Samenvatting'!$G$9:$N$15,5),IF(C120='1. Samenvatting'!$L$9,VLOOKUP('2. Kostprijs per beheertype'!D120,'1. Samenvatting'!$G$9:$N$15,6),IF(C120='1. Samenvatting'!$M$9,VLOOKUP('2. Kostprijs per beheertype'!D120,'1. Samenvatting'!$G$9:$N$15,7),IF(C120='1. Samenvatting'!$N$9,VLOOKUP('2. Kostprijs per beheertype'!D120,'1. Samenvatting'!$G$9:$N$15,8),"Nvt")))))))</f>
        <v>247.27546479152085</v>
      </c>
      <c r="F120" s="381">
        <f>IF(C120='1. Samenvatting'!$H$9,VLOOKUP('2. Kostprijs per beheertype'!D120,'1. Samenvatting'!$G$16:$N$20,2,FALSE),IF(C120='1. Samenvatting'!$I$9,VLOOKUP('2. Kostprijs per beheertype'!D120,'1. Samenvatting'!$G$16:$N$20,3,FALSE),IF(C120='1. Samenvatting'!$J$9,VLOOKUP('2. Kostprijs per beheertype'!D120,'1. Samenvatting'!$G$16:$N$20,4,FALSE),IF(C120='1. Samenvatting'!$K$9,VLOOKUP('2. Kostprijs per beheertype'!D120,'1. Samenvatting'!$G$16:$N$20,5,FALSE),IF(C120='1. Samenvatting'!$L$9,VLOOKUP('2. Kostprijs per beheertype'!D120,'1. Samenvatting'!$G$16:$N$20,6,FALSE),IF(C120='1. Samenvatting'!$M$9,VLOOKUP('2. Kostprijs per beheertype'!D120,'1. Samenvatting'!$G$16:$N$20,7,FALSE),IF(C120='1. Samenvatting'!$N$9,VLOOKUP('2. Kostprijs per beheertype'!D120,'1. Samenvatting'!$G$16:$N$20,8,FALSE),"Nvt")))))))</f>
        <v>247.27546479152085</v>
      </c>
      <c r="G120" s="382">
        <v>12</v>
      </c>
      <c r="H120" s="381">
        <f t="shared" si="2"/>
        <v>20.606288732626737</v>
      </c>
      <c r="I120" s="381">
        <f t="shared" si="3"/>
        <v>20.606288732626737</v>
      </c>
      <c r="J120" s="381"/>
      <c r="K120" s="396"/>
      <c r="L120" s="397"/>
    </row>
    <row r="121" spans="1:12" s="300" customFormat="1" ht="9" x14ac:dyDescent="0.15">
      <c r="A121" s="398" t="s">
        <v>102</v>
      </c>
      <c r="B121" s="398" t="s">
        <v>103</v>
      </c>
      <c r="C121" s="365" t="s">
        <v>19</v>
      </c>
      <c r="D121" s="366">
        <f>IF(C121='4. Beheertypen complexiteit'!$C$6,VLOOKUP('2. Kostprijs per beheertype'!A121,'4. Beheertypen complexiteit'!$A$8:$I$59,3,FALSE),IF(C121='4. Beheertypen complexiteit'!$D$6,VLOOKUP('2. Kostprijs per beheertype'!A121,'4. Beheertypen complexiteit'!$A$8:$I$59,4,FALSE),IF(C121='4. Beheertypen complexiteit'!$E$6,VLOOKUP('2. Kostprijs per beheertype'!A121,'4. Beheertypen complexiteit'!$A$8:$I$59,5,FALSE),IF(C121='4. Beheertypen complexiteit'!$F$6,VLOOKUP('2. Kostprijs per beheertype'!A121,'4. Beheertypen complexiteit'!$A$8:$I$59,6,FALSE),IF(C121='4. Beheertypen complexiteit'!$G$6,VLOOKUP('2. Kostprijs per beheertype'!A121,'4. Beheertypen complexiteit'!$A$8:$I$59,7,FALSE),IF(C121='4. Beheertypen complexiteit'!$H$6,VLOOKUP('2. Kostprijs per beheertype'!A121,'4. Beheertypen complexiteit'!$A$8:$I$59,8,FALSE),IF(C121='4. Beheertypen complexiteit'!$I$6,VLOOKUP('2. Kostprijs per beheertype'!A121,'4. Beheertypen complexiteit'!$A$8:$I$59,9,FALSE),"Nvt")))))))</f>
        <v>2</v>
      </c>
      <c r="E121" s="367">
        <f>IF(C121='1. Samenvatting'!$H$9,VLOOKUP('2. Kostprijs per beheertype'!D121,'1. Samenvatting'!$G$9:$N$15,2,FALSE),IF(C121='1. Samenvatting'!$I$9,VLOOKUP('2. Kostprijs per beheertype'!D121,'1. Samenvatting'!$G$9:$N$15,3),IF(C121='1. Samenvatting'!$J$9,VLOOKUP('2. Kostprijs per beheertype'!D121,'1. Samenvatting'!$G$9:$N$15,4),IF(C121='1. Samenvatting'!$K$9,VLOOKUP('2. Kostprijs per beheertype'!D121,'1. Samenvatting'!$G$9:$N$15,5),IF(C121='1. Samenvatting'!$L$9,VLOOKUP('2. Kostprijs per beheertype'!D121,'1. Samenvatting'!$G$9:$N$15,6),IF(C121='1. Samenvatting'!$M$9,VLOOKUP('2. Kostprijs per beheertype'!D121,'1. Samenvatting'!$G$9:$N$15,7),IF(C121='1. Samenvatting'!$N$9,VLOOKUP('2. Kostprijs per beheertype'!D121,'1. Samenvatting'!$G$9:$N$15,8),"Nvt")))))))</f>
        <v>55.738852766567376</v>
      </c>
      <c r="F121" s="367">
        <f>IF(C121='1. Samenvatting'!$H$9,VLOOKUP('2. Kostprijs per beheertype'!D121,'1. Samenvatting'!$G$16:$N$20,2,FALSE),IF(C121='1. Samenvatting'!$I$9,VLOOKUP('2. Kostprijs per beheertype'!D121,'1. Samenvatting'!$G$16:$N$20,3,FALSE),IF(C121='1. Samenvatting'!$J$9,VLOOKUP('2. Kostprijs per beheertype'!D121,'1. Samenvatting'!$G$16:$N$20,4,FALSE),IF(C121='1. Samenvatting'!$K$9,VLOOKUP('2. Kostprijs per beheertype'!D121,'1. Samenvatting'!$G$16:$N$20,5,FALSE),IF(C121='1. Samenvatting'!$L$9,VLOOKUP('2. Kostprijs per beheertype'!D121,'1. Samenvatting'!$G$16:$N$20,6,FALSE),IF(C121='1. Samenvatting'!$M$9,VLOOKUP('2. Kostprijs per beheertype'!D121,'1. Samenvatting'!$G$16:$N$20,7,FALSE),IF(C121='1. Samenvatting'!$N$9,VLOOKUP('2. Kostprijs per beheertype'!D121,'1. Samenvatting'!$G$16:$N$20,8,FALSE),"Nvt")))))))</f>
        <v>66.622547266567381</v>
      </c>
      <c r="G121" s="368">
        <v>6</v>
      </c>
      <c r="H121" s="367">
        <f t="shared" si="2"/>
        <v>9.2898087944278966</v>
      </c>
      <c r="I121" s="367">
        <f t="shared" si="3"/>
        <v>11.103757877761231</v>
      </c>
      <c r="J121" s="367">
        <f>'3. Parameters kostprijsmodel'!$F$36</f>
        <v>3.0089563425755728</v>
      </c>
      <c r="K121" s="361">
        <f>SUM(H121:H124)+J121</f>
        <v>35.832519059203172</v>
      </c>
      <c r="L121" s="362">
        <f>SUM(I121:I124)+J121</f>
        <v>41.354311529288644</v>
      </c>
    </row>
    <row r="122" spans="1:12" s="300" customFormat="1" ht="9" x14ac:dyDescent="0.15">
      <c r="A122" s="400" t="s">
        <v>102</v>
      </c>
      <c r="B122" s="400" t="s">
        <v>103</v>
      </c>
      <c r="C122" s="371" t="s">
        <v>21</v>
      </c>
      <c r="D122" s="372">
        <f>IF(C122='4. Beheertypen complexiteit'!$C$6,VLOOKUP('2. Kostprijs per beheertype'!A122,'4. Beheertypen complexiteit'!$A$8:$I$59,3,FALSE),IF(C122='4. Beheertypen complexiteit'!$D$6,VLOOKUP('2. Kostprijs per beheertype'!A122,'4. Beheertypen complexiteit'!$A$8:$I$59,4,FALSE),IF(C122='4. Beheertypen complexiteit'!$E$6,VLOOKUP('2. Kostprijs per beheertype'!A122,'4. Beheertypen complexiteit'!$A$8:$I$59,5,FALSE),IF(C122='4. Beheertypen complexiteit'!$F$6,VLOOKUP('2. Kostprijs per beheertype'!A122,'4. Beheertypen complexiteit'!$A$8:$I$59,6,FALSE),IF(C122='4. Beheertypen complexiteit'!$G$6,VLOOKUP('2. Kostprijs per beheertype'!A122,'4. Beheertypen complexiteit'!$A$8:$I$59,7,FALSE),IF(C122='4. Beheertypen complexiteit'!$H$6,VLOOKUP('2. Kostprijs per beheertype'!A122,'4. Beheertypen complexiteit'!$A$8:$I$59,8,FALSE),IF(C122='4. Beheertypen complexiteit'!$I$6,VLOOKUP('2. Kostprijs per beheertype'!A122,'4. Beheertypen complexiteit'!$A$8:$I$59,9,FALSE),"Nvt")))))))</f>
        <v>2</v>
      </c>
      <c r="E122" s="373">
        <f>IF(C122='1. Samenvatting'!$H$9,VLOOKUP('2. Kostprijs per beheertype'!D122,'1. Samenvatting'!$G$9:$N$15,2,FALSE),IF(C122='1. Samenvatting'!$I$9,VLOOKUP('2. Kostprijs per beheertype'!D122,'1. Samenvatting'!$G$9:$N$15,3),IF(C122='1. Samenvatting'!$J$9,VLOOKUP('2. Kostprijs per beheertype'!D122,'1. Samenvatting'!$G$9:$N$15,4),IF(C122='1. Samenvatting'!$K$9,VLOOKUP('2. Kostprijs per beheertype'!D122,'1. Samenvatting'!$G$9:$N$15,5),IF(C122='1. Samenvatting'!$L$9,VLOOKUP('2. Kostprijs per beheertype'!D122,'1. Samenvatting'!$G$9:$N$15,6),IF(C122='1. Samenvatting'!$M$9,VLOOKUP('2. Kostprijs per beheertype'!D122,'1. Samenvatting'!$G$9:$N$15,7),IF(C122='1. Samenvatting'!$N$9,VLOOKUP('2. Kostprijs per beheertype'!D122,'1. Samenvatting'!$G$9:$N$15,8),"Nvt")))))))</f>
        <v>34.542464078783418</v>
      </c>
      <c r="F122" s="373">
        <f>IF(C122='1. Samenvatting'!$H$9,VLOOKUP('2. Kostprijs per beheertype'!D122,'1. Samenvatting'!$G$16:$N$20,2,FALSE),IF(C122='1. Samenvatting'!$I$9,VLOOKUP('2. Kostprijs per beheertype'!D122,'1. Samenvatting'!$G$16:$N$20,3,FALSE),IF(C122='1. Samenvatting'!$J$9,VLOOKUP('2. Kostprijs per beheertype'!D122,'1. Samenvatting'!$G$16:$N$20,4,FALSE),IF(C122='1. Samenvatting'!$K$9,VLOOKUP('2. Kostprijs per beheertype'!D122,'1. Samenvatting'!$G$16:$N$20,5,FALSE),IF(C122='1. Samenvatting'!$L$9,VLOOKUP('2. Kostprijs per beheertype'!D122,'1. Samenvatting'!$G$16:$N$20,6,FALSE),IF(C122='1. Samenvatting'!$M$9,VLOOKUP('2. Kostprijs per beheertype'!D122,'1. Samenvatting'!$G$16:$N$20,7,FALSE),IF(C122='1. Samenvatting'!$N$9,VLOOKUP('2. Kostprijs per beheertype'!D122,'1. Samenvatting'!$G$16:$N$20,8,FALSE),"Nvt")))))))</f>
        <v>35.564482732629571</v>
      </c>
      <c r="G122" s="374">
        <v>6</v>
      </c>
      <c r="H122" s="373">
        <f t="shared" si="2"/>
        <v>5.7570773464639027</v>
      </c>
      <c r="I122" s="373">
        <f t="shared" si="3"/>
        <v>5.9274137887715952</v>
      </c>
      <c r="J122" s="373"/>
      <c r="K122" s="393"/>
      <c r="L122" s="394"/>
    </row>
    <row r="123" spans="1:12" s="300" customFormat="1" ht="9" x14ac:dyDescent="0.15">
      <c r="A123" s="400" t="s">
        <v>102</v>
      </c>
      <c r="B123" s="400" t="s">
        <v>103</v>
      </c>
      <c r="C123" s="414" t="s">
        <v>36</v>
      </c>
      <c r="D123" s="415">
        <f>IF(C123='4. Beheertypen complexiteit'!$C$6,VLOOKUP('2. Kostprijs per beheertype'!A123,'4. Beheertypen complexiteit'!$A$8:$I$59,3,FALSE),IF(C123='4. Beheertypen complexiteit'!$D$6,VLOOKUP('2. Kostprijs per beheertype'!A123,'4. Beheertypen complexiteit'!$A$8:$I$59,4,FALSE),IF(C123='4. Beheertypen complexiteit'!$E$6,VLOOKUP('2. Kostprijs per beheertype'!A123,'4. Beheertypen complexiteit'!$A$8:$I$59,5,FALSE),IF(C123='4. Beheertypen complexiteit'!$F$6,VLOOKUP('2. Kostprijs per beheertype'!A123,'4. Beheertypen complexiteit'!$A$8:$I$59,6,FALSE),IF(C123='4. Beheertypen complexiteit'!$G$6,VLOOKUP('2. Kostprijs per beheertype'!A123,'4. Beheertypen complexiteit'!$A$8:$I$59,7,FALSE),IF(C123='4. Beheertypen complexiteit'!$H$6,VLOOKUP('2. Kostprijs per beheertype'!A123,'4. Beheertypen complexiteit'!$A$8:$I$59,8,FALSE),IF(C123='4. Beheertypen complexiteit'!$I$6,VLOOKUP('2. Kostprijs per beheertype'!A123,'4. Beheertypen complexiteit'!$A$8:$I$59,9,FALSE),"Nvt")))))))</f>
        <v>1</v>
      </c>
      <c r="E123" s="416">
        <f>IF(C123='1. Samenvatting'!$H$9,VLOOKUP('2. Kostprijs per beheertype'!D123,'1. Samenvatting'!$G$9:$N$15,2,FALSE),IF(C123='1. Samenvatting'!$I$9,VLOOKUP('2. Kostprijs per beheertype'!D123,'1. Samenvatting'!$G$9:$N$15,3),IF(C123='1. Samenvatting'!$J$9,VLOOKUP('2. Kostprijs per beheertype'!D123,'1. Samenvatting'!$G$9:$N$15,4),IF(C123='1. Samenvatting'!$K$9,VLOOKUP('2. Kostprijs per beheertype'!D123,'1. Samenvatting'!$G$9:$N$15,5),IF(C123='1. Samenvatting'!$L$9,VLOOKUP('2. Kostprijs per beheertype'!D123,'1. Samenvatting'!$G$9:$N$15,6),IF(C123='1. Samenvatting'!$M$9,VLOOKUP('2. Kostprijs per beheertype'!D123,'1. Samenvatting'!$G$9:$N$15,7),IF(C123='1. Samenvatting'!$N$9,VLOOKUP('2. Kostprijs per beheertype'!D123,'1. Samenvatting'!$G$9:$N$15,8),"Nvt")))))))</f>
        <v>44.576062885390066</v>
      </c>
      <c r="F123" s="416">
        <f>IF(C123='1. Samenvatting'!$H$9,VLOOKUP('2. Kostprijs per beheertype'!D123,'1. Samenvatting'!$G$16:$N$20,2,FALSE),IF(C123='1. Samenvatting'!$I$9,VLOOKUP('2. Kostprijs per beheertype'!D123,'1. Samenvatting'!$G$16:$N$20,3,FALSE),IF(C123='1. Samenvatting'!$J$9,VLOOKUP('2. Kostprijs per beheertype'!D123,'1. Samenvatting'!$G$16:$N$20,4,FALSE),IF(C123='1. Samenvatting'!$K$9,VLOOKUP('2. Kostprijs per beheertype'!D123,'1. Samenvatting'!$G$16:$N$20,5,FALSE),IF(C123='1. Samenvatting'!$L$9,VLOOKUP('2. Kostprijs per beheertype'!D123,'1. Samenvatting'!$G$16:$N$20,6,FALSE),IF(C123='1. Samenvatting'!$M$9,VLOOKUP('2. Kostprijs per beheertype'!D123,'1. Samenvatting'!$G$16:$N$20,7,FALSE),IF(C123='1. Samenvatting'!$N$9,VLOOKUP('2. Kostprijs per beheertype'!D123,'1. Samenvatting'!$G$16:$N$20,8,FALSE),"Nvt")))))))</f>
        <v>65.801104552056728</v>
      </c>
      <c r="G123" s="417">
        <v>6</v>
      </c>
      <c r="H123" s="416">
        <f t="shared" si="2"/>
        <v>7.4293438142316779</v>
      </c>
      <c r="I123" s="416">
        <f t="shared" si="3"/>
        <v>10.966850758676122</v>
      </c>
      <c r="J123" s="416"/>
      <c r="K123" s="393"/>
      <c r="L123" s="394"/>
    </row>
    <row r="124" spans="1:12" s="300" customFormat="1" ht="9" x14ac:dyDescent="0.15">
      <c r="A124" s="401" t="s">
        <v>102</v>
      </c>
      <c r="B124" s="401" t="s">
        <v>103</v>
      </c>
      <c r="C124" s="379" t="s">
        <v>16</v>
      </c>
      <c r="D124" s="380">
        <f>IF(C124='4. Beheertypen complexiteit'!$C$6,VLOOKUP('2. Kostprijs per beheertype'!A124,'4. Beheertypen complexiteit'!$A$8:$I$59,3,FALSE),IF(C124='4. Beheertypen complexiteit'!$D$6,VLOOKUP('2. Kostprijs per beheertype'!A124,'4. Beheertypen complexiteit'!$A$8:$I$59,4,FALSE),IF(C124='4. Beheertypen complexiteit'!$E$6,VLOOKUP('2. Kostprijs per beheertype'!A124,'4. Beheertypen complexiteit'!$A$8:$I$59,5,FALSE),IF(C124='4. Beheertypen complexiteit'!$F$6,VLOOKUP('2. Kostprijs per beheertype'!A124,'4. Beheertypen complexiteit'!$A$8:$I$59,6,FALSE),IF(C124='4. Beheertypen complexiteit'!$G$6,VLOOKUP('2. Kostprijs per beheertype'!A124,'4. Beheertypen complexiteit'!$A$8:$I$59,7,FALSE),IF(C124='4. Beheertypen complexiteit'!$H$6,VLOOKUP('2. Kostprijs per beheertype'!A124,'4. Beheertypen complexiteit'!$A$8:$I$59,8,FALSE),IF(C124='4. Beheertypen complexiteit'!$I$6,VLOOKUP('2. Kostprijs per beheertype'!A124,'4. Beheertypen complexiteit'!$A$8:$I$59,9,FALSE),"Nvt")))))))</f>
        <v>2</v>
      </c>
      <c r="E124" s="381">
        <f>IF(C124='1. Samenvatting'!$H$9,VLOOKUP('2. Kostprijs per beheertype'!D124,'1. Samenvatting'!$G$9:$N$15,2,FALSE),IF(C124='1. Samenvatting'!$I$9,VLOOKUP('2. Kostprijs per beheertype'!D124,'1. Samenvatting'!$G$9:$N$15,3),IF(C124='1. Samenvatting'!$J$9,VLOOKUP('2. Kostprijs per beheertype'!D124,'1. Samenvatting'!$G$9:$N$15,4),IF(C124='1. Samenvatting'!$K$9,VLOOKUP('2. Kostprijs per beheertype'!D124,'1. Samenvatting'!$G$9:$N$15,5),IF(C124='1. Samenvatting'!$L$9,VLOOKUP('2. Kostprijs per beheertype'!D124,'1. Samenvatting'!$G$9:$N$15,6),IF(C124='1. Samenvatting'!$M$9,VLOOKUP('2. Kostprijs per beheertype'!D124,'1. Samenvatting'!$G$9:$N$15,7),IF(C124='1. Samenvatting'!$N$9,VLOOKUP('2. Kostprijs per beheertype'!D124,'1. Samenvatting'!$G$9:$N$15,8),"Nvt")))))))</f>
        <v>124.16799313804943</v>
      </c>
      <c r="F124" s="381">
        <f>IF(C124='1. Samenvatting'!$H$9,VLOOKUP('2. Kostprijs per beheertype'!D124,'1. Samenvatting'!$G$16:$N$20,2,FALSE),IF(C124='1. Samenvatting'!$I$9,VLOOKUP('2. Kostprijs per beheertype'!D124,'1. Samenvatting'!$G$16:$N$20,3,FALSE),IF(C124='1. Samenvatting'!$J$9,VLOOKUP('2. Kostprijs per beheertype'!D124,'1. Samenvatting'!$G$16:$N$20,4,FALSE),IF(C124='1. Samenvatting'!$K$9,VLOOKUP('2. Kostprijs per beheertype'!D124,'1. Samenvatting'!$G$16:$N$20,5,FALSE),IF(C124='1. Samenvatting'!$L$9,VLOOKUP('2. Kostprijs per beheertype'!D124,'1. Samenvatting'!$G$16:$N$20,6,FALSE),IF(C124='1. Samenvatting'!$M$9,VLOOKUP('2. Kostprijs per beheertype'!D124,'1. Samenvatting'!$G$16:$N$20,7,FALSE),IF(C124='1. Samenvatting'!$N$9,VLOOKUP('2. Kostprijs per beheertype'!D124,'1. Samenvatting'!$G$16:$N$20,8,FALSE),"Nvt")))))))</f>
        <v>124.16799313804943</v>
      </c>
      <c r="G124" s="382">
        <v>12</v>
      </c>
      <c r="H124" s="381">
        <f t="shared" si="2"/>
        <v>10.347332761504118</v>
      </c>
      <c r="I124" s="381">
        <f t="shared" si="3"/>
        <v>10.347332761504118</v>
      </c>
      <c r="J124" s="381"/>
      <c r="K124" s="396"/>
      <c r="L124" s="397"/>
    </row>
    <row r="125" spans="1:12" s="300" customFormat="1" ht="9" x14ac:dyDescent="0.15">
      <c r="A125" s="398" t="s">
        <v>104</v>
      </c>
      <c r="B125" s="398" t="s">
        <v>105</v>
      </c>
      <c r="C125" s="365" t="s">
        <v>19</v>
      </c>
      <c r="D125" s="366">
        <f>IF(C125='4. Beheertypen complexiteit'!$C$6,VLOOKUP('2. Kostprijs per beheertype'!A125,'4. Beheertypen complexiteit'!$A$8:$I$59,3,FALSE),IF(C125='4. Beheertypen complexiteit'!$D$6,VLOOKUP('2. Kostprijs per beheertype'!A125,'4. Beheertypen complexiteit'!$A$8:$I$59,4,FALSE),IF(C125='4. Beheertypen complexiteit'!$E$6,VLOOKUP('2. Kostprijs per beheertype'!A125,'4. Beheertypen complexiteit'!$A$8:$I$59,5,FALSE),IF(C125='4. Beheertypen complexiteit'!$F$6,VLOOKUP('2. Kostprijs per beheertype'!A125,'4. Beheertypen complexiteit'!$A$8:$I$59,6,FALSE),IF(C125='4. Beheertypen complexiteit'!$G$6,VLOOKUP('2. Kostprijs per beheertype'!A125,'4. Beheertypen complexiteit'!$A$8:$I$59,7,FALSE),IF(C125='4. Beheertypen complexiteit'!$H$6,VLOOKUP('2. Kostprijs per beheertype'!A125,'4. Beheertypen complexiteit'!$A$8:$I$59,8,FALSE),IF(C125='4. Beheertypen complexiteit'!$I$6,VLOOKUP('2. Kostprijs per beheertype'!A125,'4. Beheertypen complexiteit'!$A$8:$I$59,9,FALSE),"Nvt")))))))</f>
        <v>1</v>
      </c>
      <c r="E125" s="367">
        <f>IF(C125='1. Samenvatting'!$H$9,VLOOKUP('2. Kostprijs per beheertype'!D125,'1. Samenvatting'!$G$9:$N$15,2,FALSE),IF(C125='1. Samenvatting'!$I$9,VLOOKUP('2. Kostprijs per beheertype'!D125,'1. Samenvatting'!$G$9:$N$15,3),IF(C125='1. Samenvatting'!$J$9,VLOOKUP('2. Kostprijs per beheertype'!D125,'1. Samenvatting'!$G$9:$N$15,4),IF(C125='1. Samenvatting'!$K$9,VLOOKUP('2. Kostprijs per beheertype'!D125,'1. Samenvatting'!$G$9:$N$15,5),IF(C125='1. Samenvatting'!$L$9,VLOOKUP('2. Kostprijs per beheertype'!D125,'1. Samenvatting'!$G$9:$N$15,6),IF(C125='1. Samenvatting'!$M$9,VLOOKUP('2. Kostprijs per beheertype'!D125,'1. Samenvatting'!$G$9:$N$15,7),IF(C125='1. Samenvatting'!$N$9,VLOOKUP('2. Kostprijs per beheertype'!D125,'1. Samenvatting'!$G$9:$N$15,8),"Nvt")))))))</f>
        <v>92.159399805164711</v>
      </c>
      <c r="F125" s="367">
        <f>IF(C125='1. Samenvatting'!$H$9,VLOOKUP('2. Kostprijs per beheertype'!D125,'1. Samenvatting'!$G$16:$N$20,2,FALSE),IF(C125='1. Samenvatting'!$I$9,VLOOKUP('2. Kostprijs per beheertype'!D125,'1. Samenvatting'!$G$16:$N$20,3,FALSE),IF(C125='1. Samenvatting'!$J$9,VLOOKUP('2. Kostprijs per beheertype'!D125,'1. Samenvatting'!$G$16:$N$20,4,FALSE),IF(C125='1. Samenvatting'!$K$9,VLOOKUP('2. Kostprijs per beheertype'!D125,'1. Samenvatting'!$G$16:$N$20,5,FALSE),IF(C125='1. Samenvatting'!$L$9,VLOOKUP('2. Kostprijs per beheertype'!D125,'1. Samenvatting'!$G$16:$N$20,6,FALSE),IF(C125='1. Samenvatting'!$M$9,VLOOKUP('2. Kostprijs per beheertype'!D125,'1. Samenvatting'!$G$16:$N$20,7,FALSE),IF(C125='1. Samenvatting'!$N$9,VLOOKUP('2. Kostprijs per beheertype'!D125,'1. Samenvatting'!$G$16:$N$20,8,FALSE),"Nvt")))))))</f>
        <v>112.82583216627582</v>
      </c>
      <c r="G125" s="368">
        <v>6</v>
      </c>
      <c r="H125" s="367">
        <f t="shared" si="2"/>
        <v>15.359899967527452</v>
      </c>
      <c r="I125" s="367">
        <f t="shared" si="3"/>
        <v>18.804305361045969</v>
      </c>
      <c r="J125" s="367">
        <f>'3. Parameters kostprijsmodel'!$F$36</f>
        <v>3.0089563425755728</v>
      </c>
      <c r="K125" s="361">
        <f>SUM(H125:H128)+J125</f>
        <v>46.404488856961436</v>
      </c>
      <c r="L125" s="362">
        <f>SUM(I125:I128)+J125</f>
        <v>53.386401194924403</v>
      </c>
    </row>
    <row r="126" spans="1:12" s="300" customFormat="1" ht="9" x14ac:dyDescent="0.15">
      <c r="A126" s="400" t="s">
        <v>104</v>
      </c>
      <c r="B126" s="400" t="s">
        <v>105</v>
      </c>
      <c r="C126" s="414" t="s">
        <v>36</v>
      </c>
      <c r="D126" s="415">
        <f>IF(C126='4. Beheertypen complexiteit'!$C$6,VLOOKUP('2. Kostprijs per beheertype'!A126,'4. Beheertypen complexiteit'!$A$8:$I$59,3,FALSE),IF(C126='4. Beheertypen complexiteit'!$D$6,VLOOKUP('2. Kostprijs per beheertype'!A126,'4. Beheertypen complexiteit'!$A$8:$I$59,4,FALSE),IF(C126='4. Beheertypen complexiteit'!$E$6,VLOOKUP('2. Kostprijs per beheertype'!A126,'4. Beheertypen complexiteit'!$A$8:$I$59,5,FALSE),IF(C126='4. Beheertypen complexiteit'!$F$6,VLOOKUP('2. Kostprijs per beheertype'!A126,'4. Beheertypen complexiteit'!$A$8:$I$59,6,FALSE),IF(C126='4. Beheertypen complexiteit'!$G$6,VLOOKUP('2. Kostprijs per beheertype'!A126,'4. Beheertypen complexiteit'!$A$8:$I$59,7,FALSE),IF(C126='4. Beheertypen complexiteit'!$H$6,VLOOKUP('2. Kostprijs per beheertype'!A126,'4. Beheertypen complexiteit'!$A$8:$I$59,8,FALSE),IF(C126='4. Beheertypen complexiteit'!$I$6,VLOOKUP('2. Kostprijs per beheertype'!A126,'4. Beheertypen complexiteit'!$A$8:$I$59,9,FALSE),"Nvt")))))))</f>
        <v>1</v>
      </c>
      <c r="E126" s="416">
        <f>IF(C126='1. Samenvatting'!$H$9,VLOOKUP('2. Kostprijs per beheertype'!D126,'1. Samenvatting'!$G$9:$N$15,2,FALSE),IF(C126='1. Samenvatting'!$I$9,VLOOKUP('2. Kostprijs per beheertype'!D126,'1. Samenvatting'!$G$9:$N$15,3),IF(C126='1. Samenvatting'!$J$9,VLOOKUP('2. Kostprijs per beheertype'!D126,'1. Samenvatting'!$G$9:$N$15,4),IF(C126='1. Samenvatting'!$K$9,VLOOKUP('2. Kostprijs per beheertype'!D126,'1. Samenvatting'!$G$9:$N$15,5),IF(C126='1. Samenvatting'!$L$9,VLOOKUP('2. Kostprijs per beheertype'!D126,'1. Samenvatting'!$G$9:$N$15,6),IF(C126='1. Samenvatting'!$M$9,VLOOKUP('2. Kostprijs per beheertype'!D126,'1. Samenvatting'!$G$9:$N$15,7),IF(C126='1. Samenvatting'!$N$9,VLOOKUP('2. Kostprijs per beheertype'!D126,'1. Samenvatting'!$G$9:$N$15,8),"Nvt")))))))</f>
        <v>44.576062885390066</v>
      </c>
      <c r="F126" s="416">
        <f>IF(C126='1. Samenvatting'!$H$9,VLOOKUP('2. Kostprijs per beheertype'!D126,'1. Samenvatting'!$G$16:$N$20,2,FALSE),IF(C126='1. Samenvatting'!$I$9,VLOOKUP('2. Kostprijs per beheertype'!D126,'1. Samenvatting'!$G$16:$N$20,3,FALSE),IF(C126='1. Samenvatting'!$J$9,VLOOKUP('2. Kostprijs per beheertype'!D126,'1. Samenvatting'!$G$16:$N$20,4,FALSE),IF(C126='1. Samenvatting'!$K$9,VLOOKUP('2. Kostprijs per beheertype'!D126,'1. Samenvatting'!$G$16:$N$20,5,FALSE),IF(C126='1. Samenvatting'!$L$9,VLOOKUP('2. Kostprijs per beheertype'!D126,'1. Samenvatting'!$G$16:$N$20,6,FALSE),IF(C126='1. Samenvatting'!$M$9,VLOOKUP('2. Kostprijs per beheertype'!D126,'1. Samenvatting'!$G$16:$N$20,7,FALSE),IF(C126='1. Samenvatting'!$N$9,VLOOKUP('2. Kostprijs per beheertype'!D126,'1. Samenvatting'!$G$16:$N$20,8,FALSE),"Nvt")))))))</f>
        <v>65.801104552056728</v>
      </c>
      <c r="G126" s="417">
        <v>6</v>
      </c>
      <c r="H126" s="416">
        <f t="shared" si="2"/>
        <v>7.4293438142316779</v>
      </c>
      <c r="I126" s="416">
        <f t="shared" si="3"/>
        <v>10.966850758676122</v>
      </c>
      <c r="J126" s="416"/>
      <c r="K126" s="393"/>
      <c r="L126" s="394"/>
    </row>
    <row r="127" spans="1:12" s="300" customFormat="1" ht="9" x14ac:dyDescent="0.15">
      <c r="A127" s="400" t="s">
        <v>104</v>
      </c>
      <c r="B127" s="400" t="s">
        <v>105</v>
      </c>
      <c r="C127" s="371" t="s">
        <v>155</v>
      </c>
      <c r="D127" s="372" t="str">
        <f>IF(C127='4. Beheertypen complexiteit'!$C$6,VLOOKUP('2. Kostprijs per beheertype'!A127,'4. Beheertypen complexiteit'!$A$8:$I$59,3,FALSE),IF(C127='4. Beheertypen complexiteit'!$D$6,VLOOKUP('2. Kostprijs per beheertype'!A127,'4. Beheertypen complexiteit'!$A$8:$I$59,4,FALSE),IF(C127='4. Beheertypen complexiteit'!$E$6,VLOOKUP('2. Kostprijs per beheertype'!A127,'4. Beheertypen complexiteit'!$A$8:$I$59,5,FALSE),IF(C127='4. Beheertypen complexiteit'!$F$6,VLOOKUP('2. Kostprijs per beheertype'!A127,'4. Beheertypen complexiteit'!$A$8:$I$59,6,FALSE),IF(C127='4. Beheertypen complexiteit'!$G$6,VLOOKUP('2. Kostprijs per beheertype'!A127,'4. Beheertypen complexiteit'!$A$8:$I$59,7,FALSE),IF(C127='4. Beheertypen complexiteit'!$H$6,VLOOKUP('2. Kostprijs per beheertype'!A127,'4. Beheertypen complexiteit'!$A$8:$I$59,8,FALSE),IF(C127='4. Beheertypen complexiteit'!$I$6,VLOOKUP('2. Kostprijs per beheertype'!A127,'4. Beheertypen complexiteit'!$A$8:$I$59,9,FALSE),"Nvt")))))))</f>
        <v>Nvt</v>
      </c>
      <c r="E127" s="373" t="str">
        <f>IF(C127='1. Samenvatting'!$H$9,VLOOKUP('2. Kostprijs per beheertype'!D127,'1. Samenvatting'!$G$9:$N$15,2,FALSE),IF(C127='1. Samenvatting'!$I$9,VLOOKUP('2. Kostprijs per beheertype'!D127,'1. Samenvatting'!$G$9:$N$15,3),IF(C127='1. Samenvatting'!$J$9,VLOOKUP('2. Kostprijs per beheertype'!D127,'1. Samenvatting'!$G$9:$N$15,4),IF(C127='1. Samenvatting'!$K$9,VLOOKUP('2. Kostprijs per beheertype'!D127,'1. Samenvatting'!$G$9:$N$15,5),IF(C127='1. Samenvatting'!$L$9,VLOOKUP('2. Kostprijs per beheertype'!D127,'1. Samenvatting'!$G$9:$N$15,6),IF(C127='1. Samenvatting'!$M$9,VLOOKUP('2. Kostprijs per beheertype'!D127,'1. Samenvatting'!$G$9:$N$15,7),IF(C127='1. Samenvatting'!$N$9,VLOOKUP('2. Kostprijs per beheertype'!D127,'1. Samenvatting'!$G$9:$N$15,8),"Nvt")))))))</f>
        <v>Nvt</v>
      </c>
      <c r="F127" s="373" t="str">
        <f>IF(C127='1. Samenvatting'!$H$9,VLOOKUP('2. Kostprijs per beheertype'!D127,'1. Samenvatting'!$G$16:$N$20,2,FALSE),IF(C127='1. Samenvatting'!$I$9,VLOOKUP('2. Kostprijs per beheertype'!D127,'1. Samenvatting'!$G$16:$N$20,3,FALSE),IF(C127='1. Samenvatting'!$J$9,VLOOKUP('2. Kostprijs per beheertype'!D127,'1. Samenvatting'!$G$16:$N$20,4,FALSE),IF(C127='1. Samenvatting'!$K$9,VLOOKUP('2. Kostprijs per beheertype'!D127,'1. Samenvatting'!$G$16:$N$20,5,FALSE),IF(C127='1. Samenvatting'!$L$9,VLOOKUP('2. Kostprijs per beheertype'!D127,'1. Samenvatting'!$G$16:$N$20,6,FALSE),IF(C127='1. Samenvatting'!$M$9,VLOOKUP('2. Kostprijs per beheertype'!D127,'1. Samenvatting'!$G$16:$N$20,7,FALSE),IF(C127='1. Samenvatting'!$N$9,VLOOKUP('2. Kostprijs per beheertype'!D127,'1. Samenvatting'!$G$16:$N$20,8,FALSE),"Nvt")))))))</f>
        <v>Nvt</v>
      </c>
      <c r="G127" s="374">
        <v>6</v>
      </c>
      <c r="H127" s="373">
        <f t="shared" si="2"/>
        <v>0</v>
      </c>
      <c r="I127" s="373">
        <f t="shared" si="3"/>
        <v>0</v>
      </c>
      <c r="J127" s="373"/>
      <c r="K127" s="393"/>
      <c r="L127" s="394"/>
    </row>
    <row r="128" spans="1:12" s="300" customFormat="1" ht="9" x14ac:dyDescent="0.15">
      <c r="A128" s="401" t="s">
        <v>104</v>
      </c>
      <c r="B128" s="401" t="s">
        <v>105</v>
      </c>
      <c r="C128" s="379" t="s">
        <v>16</v>
      </c>
      <c r="D128" s="380">
        <f>IF(C128='4. Beheertypen complexiteit'!$C$6,VLOOKUP('2. Kostprijs per beheertype'!A128,'4. Beheertypen complexiteit'!$A$8:$I$59,3,FALSE),IF(C128='4. Beheertypen complexiteit'!$D$6,VLOOKUP('2. Kostprijs per beheertype'!A128,'4. Beheertypen complexiteit'!$A$8:$I$59,4,FALSE),IF(C128='4. Beheertypen complexiteit'!$E$6,VLOOKUP('2. Kostprijs per beheertype'!A128,'4. Beheertypen complexiteit'!$A$8:$I$59,5,FALSE),IF(C128='4. Beheertypen complexiteit'!$F$6,VLOOKUP('2. Kostprijs per beheertype'!A128,'4. Beheertypen complexiteit'!$A$8:$I$59,6,FALSE),IF(C128='4. Beheertypen complexiteit'!$G$6,VLOOKUP('2. Kostprijs per beheertype'!A128,'4. Beheertypen complexiteit'!$A$8:$I$59,7,FALSE),IF(C128='4. Beheertypen complexiteit'!$H$6,VLOOKUP('2. Kostprijs per beheertype'!A128,'4. Beheertypen complexiteit'!$A$8:$I$59,8,FALSE),IF(C128='4. Beheertypen complexiteit'!$I$6,VLOOKUP('2. Kostprijs per beheertype'!A128,'4. Beheertypen complexiteit'!$A$8:$I$59,9,FALSE),"Nvt")))))))</f>
        <v>1</v>
      </c>
      <c r="E128" s="381">
        <f>IF(C128='1. Samenvatting'!$H$9,VLOOKUP('2. Kostprijs per beheertype'!D128,'1. Samenvatting'!$G$9:$N$15,2,FALSE),IF(C128='1. Samenvatting'!$I$9,VLOOKUP('2. Kostprijs per beheertype'!D128,'1. Samenvatting'!$G$9:$N$15,3),IF(C128='1. Samenvatting'!$J$9,VLOOKUP('2. Kostprijs per beheertype'!D128,'1. Samenvatting'!$G$9:$N$15,4),IF(C128='1. Samenvatting'!$K$9,VLOOKUP('2. Kostprijs per beheertype'!D128,'1. Samenvatting'!$G$9:$N$15,5),IF(C128='1. Samenvatting'!$L$9,VLOOKUP('2. Kostprijs per beheertype'!D128,'1. Samenvatting'!$G$9:$N$15,6),IF(C128='1. Samenvatting'!$M$9,VLOOKUP('2. Kostprijs per beheertype'!D128,'1. Samenvatting'!$G$9:$N$15,7),IF(C128='1. Samenvatting'!$N$9,VLOOKUP('2. Kostprijs per beheertype'!D128,'1. Samenvatting'!$G$9:$N$15,8),"Nvt")))))))</f>
        <v>247.27546479152085</v>
      </c>
      <c r="F128" s="381">
        <f>IF(C128='1. Samenvatting'!$H$9,VLOOKUP('2. Kostprijs per beheertype'!D128,'1. Samenvatting'!$G$16:$N$20,2,FALSE),IF(C128='1. Samenvatting'!$I$9,VLOOKUP('2. Kostprijs per beheertype'!D128,'1. Samenvatting'!$G$16:$N$20,3,FALSE),IF(C128='1. Samenvatting'!$J$9,VLOOKUP('2. Kostprijs per beheertype'!D128,'1. Samenvatting'!$G$16:$N$20,4,FALSE),IF(C128='1. Samenvatting'!$K$9,VLOOKUP('2. Kostprijs per beheertype'!D128,'1. Samenvatting'!$G$16:$N$20,5,FALSE),IF(C128='1. Samenvatting'!$L$9,VLOOKUP('2. Kostprijs per beheertype'!D128,'1. Samenvatting'!$G$16:$N$20,6,FALSE),IF(C128='1. Samenvatting'!$M$9,VLOOKUP('2. Kostprijs per beheertype'!D128,'1. Samenvatting'!$G$16:$N$20,7,FALSE),IF(C128='1. Samenvatting'!$N$9,VLOOKUP('2. Kostprijs per beheertype'!D128,'1. Samenvatting'!$G$16:$N$20,8,FALSE),"Nvt")))))))</f>
        <v>247.27546479152085</v>
      </c>
      <c r="G128" s="382">
        <v>12</v>
      </c>
      <c r="H128" s="381">
        <f t="shared" si="2"/>
        <v>20.606288732626737</v>
      </c>
      <c r="I128" s="381">
        <f t="shared" si="3"/>
        <v>20.606288732626737</v>
      </c>
      <c r="J128" s="381"/>
      <c r="K128" s="396"/>
      <c r="L128" s="397"/>
    </row>
    <row r="129" spans="1:12" s="300" customFormat="1" ht="9" x14ac:dyDescent="0.15">
      <c r="A129" s="398" t="s">
        <v>106</v>
      </c>
      <c r="B129" s="398" t="s">
        <v>156</v>
      </c>
      <c r="C129" s="365" t="s">
        <v>19</v>
      </c>
      <c r="D129" s="372">
        <f>IF(C129='4. Beheertypen complexiteit'!$C$6,VLOOKUP('2. Kostprijs per beheertype'!A129,'4. Beheertypen complexiteit'!$A$8:$I$59,3,FALSE),IF(C129='4. Beheertypen complexiteit'!$D$6,VLOOKUP('2. Kostprijs per beheertype'!A129,'4. Beheertypen complexiteit'!$A$8:$I$59,4,FALSE),IF(C129='4. Beheertypen complexiteit'!$E$6,VLOOKUP('2. Kostprijs per beheertype'!A129,'4. Beheertypen complexiteit'!$A$8:$I$59,5,FALSE),IF(C129='4. Beheertypen complexiteit'!$F$6,VLOOKUP('2. Kostprijs per beheertype'!A129,'4. Beheertypen complexiteit'!$A$8:$I$59,6,FALSE),IF(C129='4. Beheertypen complexiteit'!$G$6,VLOOKUP('2. Kostprijs per beheertype'!A129,'4. Beheertypen complexiteit'!$A$8:$I$59,7,FALSE),IF(C129='4. Beheertypen complexiteit'!$H$6,VLOOKUP('2. Kostprijs per beheertype'!A129,'4. Beheertypen complexiteit'!$A$8:$I$59,8,FALSE),IF(C129='4. Beheertypen complexiteit'!$I$6,VLOOKUP('2. Kostprijs per beheertype'!A129,'4. Beheertypen complexiteit'!$A$8:$I$59,9,FALSE),"Nvt")))))))</f>
        <v>1</v>
      </c>
      <c r="E129" s="373">
        <f>IF(C129='1. Samenvatting'!$H$9,VLOOKUP('2. Kostprijs per beheertype'!D129,'1. Samenvatting'!$G$9:$N$15,2,FALSE),IF(C129='1. Samenvatting'!$I$9,VLOOKUP('2. Kostprijs per beheertype'!D129,'1. Samenvatting'!$G$9:$N$15,3),IF(C129='1. Samenvatting'!$J$9,VLOOKUP('2. Kostprijs per beheertype'!D129,'1. Samenvatting'!$G$9:$N$15,4),IF(C129='1. Samenvatting'!$K$9,VLOOKUP('2. Kostprijs per beheertype'!D129,'1. Samenvatting'!$G$9:$N$15,5),IF(C129='1. Samenvatting'!$L$9,VLOOKUP('2. Kostprijs per beheertype'!D129,'1. Samenvatting'!$G$9:$N$15,6),IF(C129='1. Samenvatting'!$M$9,VLOOKUP('2. Kostprijs per beheertype'!D129,'1. Samenvatting'!$G$9:$N$15,7),IF(C129='1. Samenvatting'!$N$9,VLOOKUP('2. Kostprijs per beheertype'!D129,'1. Samenvatting'!$G$9:$N$15,8),"Nvt")))))))</f>
        <v>92.159399805164711</v>
      </c>
      <c r="F129" s="367">
        <f>IF(C129='1. Samenvatting'!$H$9,VLOOKUP('2. Kostprijs per beheertype'!D129,'1. Samenvatting'!$G$16:$N$20,2,FALSE),IF(C129='1. Samenvatting'!$I$9,VLOOKUP('2. Kostprijs per beheertype'!D129,'1. Samenvatting'!$G$16:$N$20,3,FALSE),IF(C129='1. Samenvatting'!$J$9,VLOOKUP('2. Kostprijs per beheertype'!D129,'1. Samenvatting'!$G$16:$N$20,4,FALSE),IF(C129='1. Samenvatting'!$K$9,VLOOKUP('2. Kostprijs per beheertype'!D129,'1. Samenvatting'!$G$16:$N$20,5,FALSE),IF(C129='1. Samenvatting'!$L$9,VLOOKUP('2. Kostprijs per beheertype'!D129,'1. Samenvatting'!$G$16:$N$20,6,FALSE),IF(C129='1. Samenvatting'!$M$9,VLOOKUP('2. Kostprijs per beheertype'!D129,'1. Samenvatting'!$G$16:$N$20,7,FALSE),IF(C129='1. Samenvatting'!$N$9,VLOOKUP('2. Kostprijs per beheertype'!D129,'1. Samenvatting'!$G$16:$N$20,8,FALSE),"Nvt")))))))</f>
        <v>112.82583216627582</v>
      </c>
      <c r="G129" s="368">
        <v>6</v>
      </c>
      <c r="H129" s="367">
        <f t="shared" si="2"/>
        <v>15.359899967527452</v>
      </c>
      <c r="I129" s="367">
        <f t="shared" si="3"/>
        <v>18.804305361045969</v>
      </c>
      <c r="J129" s="367">
        <f>'3. Parameters kostprijsmodel'!$F$36</f>
        <v>3.0089563425755728</v>
      </c>
      <c r="K129" s="361">
        <f>SUM(H129:H131)+J129</f>
        <v>46.404488856961436</v>
      </c>
      <c r="L129" s="362">
        <f>SUM(I129:I131)+J129</f>
        <v>53.386401194924403</v>
      </c>
    </row>
    <row r="130" spans="1:12" s="300" customFormat="1" ht="9" x14ac:dyDescent="0.15">
      <c r="A130" s="400" t="s">
        <v>106</v>
      </c>
      <c r="B130" s="400" t="s">
        <v>157</v>
      </c>
      <c r="C130" s="414" t="s">
        <v>36</v>
      </c>
      <c r="D130" s="422">
        <f>IF(C130='4. Beheertypen complexiteit'!$C$6,VLOOKUP('2. Kostprijs per beheertype'!A130,'4. Beheertypen complexiteit'!$A$8:$I$59,3,FALSE),IF(C130='4. Beheertypen complexiteit'!$D$6,VLOOKUP('2. Kostprijs per beheertype'!A130,'4. Beheertypen complexiteit'!$A$8:$I$59,4,FALSE),IF(C130='4. Beheertypen complexiteit'!$E$6,VLOOKUP('2. Kostprijs per beheertype'!A130,'4. Beheertypen complexiteit'!$A$8:$I$59,5,FALSE),IF(C130='4. Beheertypen complexiteit'!$F$6,VLOOKUP('2. Kostprijs per beheertype'!A130,'4. Beheertypen complexiteit'!$A$8:$I$59,6,FALSE),IF(C130='4. Beheertypen complexiteit'!$G$6,VLOOKUP('2. Kostprijs per beheertype'!A130,'4. Beheertypen complexiteit'!$A$8:$I$59,7,FALSE),IF(C130='4. Beheertypen complexiteit'!$H$6,VLOOKUP('2. Kostprijs per beheertype'!A130,'4. Beheertypen complexiteit'!$A$8:$I$59,8,FALSE),IF(C130='4. Beheertypen complexiteit'!$I$6,VLOOKUP('2. Kostprijs per beheertype'!A130,'4. Beheertypen complexiteit'!$A$8:$I$59,9,FALSE),"Nvt")))))))</f>
        <v>1</v>
      </c>
      <c r="E130" s="423">
        <f>IF(C130='1. Samenvatting'!$H$9,VLOOKUP('2. Kostprijs per beheertype'!D130,'1. Samenvatting'!$G$9:$N$15,2,FALSE),IF(C130='1. Samenvatting'!$I$9,VLOOKUP('2. Kostprijs per beheertype'!D130,'1. Samenvatting'!$G$9:$N$15,3),IF(C130='1. Samenvatting'!$J$9,VLOOKUP('2. Kostprijs per beheertype'!D130,'1. Samenvatting'!$G$9:$N$15,4),IF(C130='1. Samenvatting'!$K$9,VLOOKUP('2. Kostprijs per beheertype'!D130,'1. Samenvatting'!$G$9:$N$15,5),IF(C130='1. Samenvatting'!$L$9,VLOOKUP('2. Kostprijs per beheertype'!D130,'1. Samenvatting'!$G$9:$N$15,6),IF(C130='1. Samenvatting'!$M$9,VLOOKUP('2. Kostprijs per beheertype'!D130,'1. Samenvatting'!$G$9:$N$15,7),IF(C130='1. Samenvatting'!$N$9,VLOOKUP('2. Kostprijs per beheertype'!D130,'1. Samenvatting'!$G$9:$N$15,8),"Nvt")))))))</f>
        <v>44.576062885390066</v>
      </c>
      <c r="F130" s="416">
        <f>IF(C130='1. Samenvatting'!$H$9,VLOOKUP('2. Kostprijs per beheertype'!D130,'1. Samenvatting'!$G$16:$N$20,2,FALSE),IF(C130='1. Samenvatting'!$I$9,VLOOKUP('2. Kostprijs per beheertype'!D130,'1. Samenvatting'!$G$16:$N$20,3,FALSE),IF(C130='1. Samenvatting'!$J$9,VLOOKUP('2. Kostprijs per beheertype'!D130,'1. Samenvatting'!$G$16:$N$20,4,FALSE),IF(C130='1. Samenvatting'!$K$9,VLOOKUP('2. Kostprijs per beheertype'!D130,'1. Samenvatting'!$G$16:$N$20,5,FALSE),IF(C130='1. Samenvatting'!$L$9,VLOOKUP('2. Kostprijs per beheertype'!D130,'1. Samenvatting'!$G$16:$N$20,6,FALSE),IF(C130='1. Samenvatting'!$M$9,VLOOKUP('2. Kostprijs per beheertype'!D130,'1. Samenvatting'!$G$16:$N$20,7,FALSE),IF(C130='1. Samenvatting'!$N$9,VLOOKUP('2. Kostprijs per beheertype'!D130,'1. Samenvatting'!$G$16:$N$20,8,FALSE),"Nvt")))))))</f>
        <v>65.801104552056728</v>
      </c>
      <c r="G130" s="417">
        <v>6</v>
      </c>
      <c r="H130" s="416">
        <f t="shared" si="2"/>
        <v>7.4293438142316779</v>
      </c>
      <c r="I130" s="416">
        <f t="shared" si="3"/>
        <v>10.966850758676122</v>
      </c>
      <c r="J130" s="416"/>
      <c r="K130" s="393"/>
      <c r="L130" s="394"/>
    </row>
    <row r="131" spans="1:12" s="300" customFormat="1" ht="9" x14ac:dyDescent="0.15">
      <c r="A131" s="401" t="s">
        <v>106</v>
      </c>
      <c r="B131" s="401" t="s">
        <v>157</v>
      </c>
      <c r="C131" s="379" t="s">
        <v>16</v>
      </c>
      <c r="D131" s="380">
        <f>IF(C131='4. Beheertypen complexiteit'!$C$6,VLOOKUP('2. Kostprijs per beheertype'!A131,'4. Beheertypen complexiteit'!$A$8:$I$59,3,FALSE),IF(C131='4. Beheertypen complexiteit'!$D$6,VLOOKUP('2. Kostprijs per beheertype'!A131,'4. Beheertypen complexiteit'!$A$8:$I$59,4,FALSE),IF(C131='4. Beheertypen complexiteit'!$E$6,VLOOKUP('2. Kostprijs per beheertype'!A131,'4. Beheertypen complexiteit'!$A$8:$I$59,5,FALSE),IF(C131='4. Beheertypen complexiteit'!$F$6,VLOOKUP('2. Kostprijs per beheertype'!A131,'4. Beheertypen complexiteit'!$A$8:$I$59,6,FALSE),IF(C131='4. Beheertypen complexiteit'!$G$6,VLOOKUP('2. Kostprijs per beheertype'!A131,'4. Beheertypen complexiteit'!$A$8:$I$59,7,FALSE),IF(C131='4. Beheertypen complexiteit'!$H$6,VLOOKUP('2. Kostprijs per beheertype'!A131,'4. Beheertypen complexiteit'!$A$8:$I$59,8,FALSE),IF(C131='4. Beheertypen complexiteit'!$I$6,VLOOKUP('2. Kostprijs per beheertype'!A131,'4. Beheertypen complexiteit'!$A$8:$I$59,9,FALSE),"Nvt")))))))</f>
        <v>1</v>
      </c>
      <c r="E131" s="381">
        <f>IF(C131='1. Samenvatting'!$H$9,VLOOKUP('2. Kostprijs per beheertype'!D131,'1. Samenvatting'!$G$9:$N$15,2,FALSE),IF(C131='1. Samenvatting'!$I$9,VLOOKUP('2. Kostprijs per beheertype'!D131,'1. Samenvatting'!$G$9:$N$15,3),IF(C131='1. Samenvatting'!$J$9,VLOOKUP('2. Kostprijs per beheertype'!D131,'1. Samenvatting'!$G$9:$N$15,4),IF(C131='1. Samenvatting'!$K$9,VLOOKUP('2. Kostprijs per beheertype'!D131,'1. Samenvatting'!$G$9:$N$15,5),IF(C131='1. Samenvatting'!$L$9,VLOOKUP('2. Kostprijs per beheertype'!D131,'1. Samenvatting'!$G$9:$N$15,6),IF(C131='1. Samenvatting'!$M$9,VLOOKUP('2. Kostprijs per beheertype'!D131,'1. Samenvatting'!$G$9:$N$15,7),IF(C131='1. Samenvatting'!$N$9,VLOOKUP('2. Kostprijs per beheertype'!D131,'1. Samenvatting'!$G$9:$N$15,8),"Nvt")))))))</f>
        <v>247.27546479152085</v>
      </c>
      <c r="F131" s="381">
        <f>IF(C131='1. Samenvatting'!$H$9,VLOOKUP('2. Kostprijs per beheertype'!D131,'1. Samenvatting'!$G$16:$N$20,2,FALSE),IF(C131='1. Samenvatting'!$I$9,VLOOKUP('2. Kostprijs per beheertype'!D131,'1. Samenvatting'!$G$16:$N$20,3,FALSE),IF(C131='1. Samenvatting'!$J$9,VLOOKUP('2. Kostprijs per beheertype'!D131,'1. Samenvatting'!$G$16:$N$20,4,FALSE),IF(C131='1. Samenvatting'!$K$9,VLOOKUP('2. Kostprijs per beheertype'!D131,'1. Samenvatting'!$G$16:$N$20,5,FALSE),IF(C131='1. Samenvatting'!$L$9,VLOOKUP('2. Kostprijs per beheertype'!D131,'1. Samenvatting'!$G$16:$N$20,6,FALSE),IF(C131='1. Samenvatting'!$M$9,VLOOKUP('2. Kostprijs per beheertype'!D131,'1. Samenvatting'!$G$16:$N$20,7,FALSE),IF(C131='1. Samenvatting'!$N$9,VLOOKUP('2. Kostprijs per beheertype'!D131,'1. Samenvatting'!$G$16:$N$20,8,FALSE),"Nvt")))))))</f>
        <v>247.27546479152085</v>
      </c>
      <c r="G131" s="382">
        <v>12</v>
      </c>
      <c r="H131" s="381">
        <f t="shared" si="2"/>
        <v>20.606288732626737</v>
      </c>
      <c r="I131" s="381">
        <f t="shared" si="3"/>
        <v>20.606288732626737</v>
      </c>
      <c r="J131" s="381"/>
      <c r="K131" s="396"/>
      <c r="L131" s="397"/>
    </row>
    <row r="132" spans="1:12" s="300" customFormat="1" ht="9" x14ac:dyDescent="0.15">
      <c r="A132" s="398" t="s">
        <v>108</v>
      </c>
      <c r="B132" s="398" t="s">
        <v>157</v>
      </c>
      <c r="C132" s="365" t="s">
        <v>19</v>
      </c>
      <c r="D132" s="372">
        <f>IF(C132='4. Beheertypen complexiteit'!$C$6,VLOOKUP('2. Kostprijs per beheertype'!A132,'4. Beheertypen complexiteit'!$A$8:$I$59,3,FALSE),IF(C132='4. Beheertypen complexiteit'!$D$6,VLOOKUP('2. Kostprijs per beheertype'!A132,'4. Beheertypen complexiteit'!$A$8:$I$59,4,FALSE),IF(C132='4. Beheertypen complexiteit'!$E$6,VLOOKUP('2. Kostprijs per beheertype'!A132,'4. Beheertypen complexiteit'!$A$8:$I$59,5,FALSE),IF(C132='4. Beheertypen complexiteit'!$F$6,VLOOKUP('2. Kostprijs per beheertype'!A132,'4. Beheertypen complexiteit'!$A$8:$I$59,6,FALSE),IF(C132='4. Beheertypen complexiteit'!$G$6,VLOOKUP('2. Kostprijs per beheertype'!A132,'4. Beheertypen complexiteit'!$A$8:$I$59,7,FALSE),IF(C132='4. Beheertypen complexiteit'!$H$6,VLOOKUP('2. Kostprijs per beheertype'!A132,'4. Beheertypen complexiteit'!$A$8:$I$59,8,FALSE),IF(C132='4. Beheertypen complexiteit'!$I$6,VLOOKUP('2. Kostprijs per beheertype'!A132,'4. Beheertypen complexiteit'!$A$8:$I$59,9,FALSE),"Nvt")))))))</f>
        <v>1</v>
      </c>
      <c r="E132" s="373">
        <f>IF(C132='1. Samenvatting'!$H$9,VLOOKUP('2. Kostprijs per beheertype'!D132,'1. Samenvatting'!$G$9:$N$15,2,FALSE),IF(C132='1. Samenvatting'!$I$9,VLOOKUP('2. Kostprijs per beheertype'!D132,'1. Samenvatting'!$G$9:$N$15,3),IF(C132='1. Samenvatting'!$J$9,VLOOKUP('2. Kostprijs per beheertype'!D132,'1. Samenvatting'!$G$9:$N$15,4),IF(C132='1. Samenvatting'!$K$9,VLOOKUP('2. Kostprijs per beheertype'!D132,'1. Samenvatting'!$G$9:$N$15,5),IF(C132='1. Samenvatting'!$L$9,VLOOKUP('2. Kostprijs per beheertype'!D132,'1. Samenvatting'!$G$9:$N$15,6),IF(C132='1. Samenvatting'!$M$9,VLOOKUP('2. Kostprijs per beheertype'!D132,'1. Samenvatting'!$G$9:$N$15,7),IF(C132='1. Samenvatting'!$N$9,VLOOKUP('2. Kostprijs per beheertype'!D132,'1. Samenvatting'!$G$9:$N$15,8),"Nvt")))))))</f>
        <v>92.159399805164711</v>
      </c>
      <c r="F132" s="373">
        <f>IF(C132='1. Samenvatting'!$H$9,VLOOKUP('2. Kostprijs per beheertype'!D132,'1. Samenvatting'!$G$16:$N$20,2,FALSE),IF(C132='1. Samenvatting'!$I$9,VLOOKUP('2. Kostprijs per beheertype'!D132,'1. Samenvatting'!$G$16:$N$20,3,FALSE),IF(C132='1. Samenvatting'!$J$9,VLOOKUP('2. Kostprijs per beheertype'!D132,'1. Samenvatting'!$G$16:$N$20,4,FALSE),IF(C132='1. Samenvatting'!$K$9,VLOOKUP('2. Kostprijs per beheertype'!D132,'1. Samenvatting'!$G$16:$N$20,5,FALSE),IF(C132='1. Samenvatting'!$L$9,VLOOKUP('2. Kostprijs per beheertype'!D132,'1. Samenvatting'!$G$16:$N$20,6,FALSE),IF(C132='1. Samenvatting'!$M$9,VLOOKUP('2. Kostprijs per beheertype'!D132,'1. Samenvatting'!$G$16:$N$20,7,FALSE),IF(C132='1. Samenvatting'!$N$9,VLOOKUP('2. Kostprijs per beheertype'!D132,'1. Samenvatting'!$G$16:$N$20,8,FALSE),"Nvt")))))))</f>
        <v>112.82583216627582</v>
      </c>
      <c r="G132" s="368">
        <v>6</v>
      </c>
      <c r="H132" s="373">
        <f t="shared" si="2"/>
        <v>15.359899967527452</v>
      </c>
      <c r="I132" s="373">
        <f t="shared" si="3"/>
        <v>18.804305361045969</v>
      </c>
      <c r="J132" s="367">
        <f>'3. Parameters kostprijsmodel'!$F$36</f>
        <v>3.0089563425755728</v>
      </c>
      <c r="K132" s="361">
        <f>SUM(H132:H134)+J132</f>
        <v>30.591127984503437</v>
      </c>
      <c r="L132" s="362">
        <f>SUM(I132:I134)+J132</f>
        <v>37.573040322466397</v>
      </c>
    </row>
    <row r="133" spans="1:12" s="300" customFormat="1" ht="9" x14ac:dyDescent="0.15">
      <c r="A133" s="400" t="s">
        <v>108</v>
      </c>
      <c r="B133" s="400" t="s">
        <v>157</v>
      </c>
      <c r="C133" s="414" t="s">
        <v>36</v>
      </c>
      <c r="D133" s="422">
        <f>IF(C133='4. Beheertypen complexiteit'!$C$6,VLOOKUP('2. Kostprijs per beheertype'!A133,'4. Beheertypen complexiteit'!$A$8:$I$59,3,FALSE),IF(C133='4. Beheertypen complexiteit'!$D$6,VLOOKUP('2. Kostprijs per beheertype'!A133,'4. Beheertypen complexiteit'!$A$8:$I$59,4,FALSE),IF(C133='4. Beheertypen complexiteit'!$E$6,VLOOKUP('2. Kostprijs per beheertype'!A133,'4. Beheertypen complexiteit'!$A$8:$I$59,5,FALSE),IF(C133='4. Beheertypen complexiteit'!$F$6,VLOOKUP('2. Kostprijs per beheertype'!A133,'4. Beheertypen complexiteit'!$A$8:$I$59,6,FALSE),IF(C133='4. Beheertypen complexiteit'!$G$6,VLOOKUP('2. Kostprijs per beheertype'!A133,'4. Beheertypen complexiteit'!$A$8:$I$59,7,FALSE),IF(C133='4. Beheertypen complexiteit'!$H$6,VLOOKUP('2. Kostprijs per beheertype'!A133,'4. Beheertypen complexiteit'!$A$8:$I$59,8,FALSE),IF(C133='4. Beheertypen complexiteit'!$I$6,VLOOKUP('2. Kostprijs per beheertype'!A133,'4. Beheertypen complexiteit'!$A$8:$I$59,9,FALSE),"Nvt")))))))</f>
        <v>1</v>
      </c>
      <c r="E133" s="423">
        <f>IF(C133='1. Samenvatting'!$H$9,VLOOKUP('2. Kostprijs per beheertype'!D133,'1. Samenvatting'!$G$9:$N$15,2,FALSE),IF(C133='1. Samenvatting'!$I$9,VLOOKUP('2. Kostprijs per beheertype'!D133,'1. Samenvatting'!$G$9:$N$15,3),IF(C133='1. Samenvatting'!$J$9,VLOOKUP('2. Kostprijs per beheertype'!D133,'1. Samenvatting'!$G$9:$N$15,4),IF(C133='1. Samenvatting'!$K$9,VLOOKUP('2. Kostprijs per beheertype'!D133,'1. Samenvatting'!$G$9:$N$15,5),IF(C133='1. Samenvatting'!$L$9,VLOOKUP('2. Kostprijs per beheertype'!D133,'1. Samenvatting'!$G$9:$N$15,6),IF(C133='1. Samenvatting'!$M$9,VLOOKUP('2. Kostprijs per beheertype'!D133,'1. Samenvatting'!$G$9:$N$15,7),IF(C133='1. Samenvatting'!$N$9,VLOOKUP('2. Kostprijs per beheertype'!D133,'1. Samenvatting'!$G$9:$N$15,8),"Nvt")))))))</f>
        <v>44.576062885390066</v>
      </c>
      <c r="F133" s="423">
        <f>IF(C133='1. Samenvatting'!$H$9,VLOOKUP('2. Kostprijs per beheertype'!D133,'1. Samenvatting'!$G$16:$N$20,2,FALSE),IF(C133='1. Samenvatting'!$I$9,VLOOKUP('2. Kostprijs per beheertype'!D133,'1. Samenvatting'!$G$16:$N$20,3,FALSE),IF(C133='1. Samenvatting'!$J$9,VLOOKUP('2. Kostprijs per beheertype'!D133,'1. Samenvatting'!$G$16:$N$20,4,FALSE),IF(C133='1. Samenvatting'!$K$9,VLOOKUP('2. Kostprijs per beheertype'!D133,'1. Samenvatting'!$G$16:$N$20,5,FALSE),IF(C133='1. Samenvatting'!$L$9,VLOOKUP('2. Kostprijs per beheertype'!D133,'1. Samenvatting'!$G$16:$N$20,6,FALSE),IF(C133='1. Samenvatting'!$M$9,VLOOKUP('2. Kostprijs per beheertype'!D133,'1. Samenvatting'!$G$16:$N$20,7,FALSE),IF(C133='1. Samenvatting'!$N$9,VLOOKUP('2. Kostprijs per beheertype'!D133,'1. Samenvatting'!$G$16:$N$20,8,FALSE),"Nvt")))))))</f>
        <v>65.801104552056728</v>
      </c>
      <c r="G133" s="417">
        <v>6</v>
      </c>
      <c r="H133" s="423">
        <f t="shared" si="2"/>
        <v>7.4293438142316779</v>
      </c>
      <c r="I133" s="373">
        <f t="shared" si="3"/>
        <v>10.966850758676122</v>
      </c>
      <c r="J133" s="373"/>
      <c r="K133" s="393"/>
      <c r="L133" s="394"/>
    </row>
    <row r="134" spans="1:12" s="300" customFormat="1" ht="9" x14ac:dyDescent="0.15">
      <c r="A134" s="400" t="s">
        <v>108</v>
      </c>
      <c r="B134" s="401" t="s">
        <v>157</v>
      </c>
      <c r="C134" s="379" t="s">
        <v>16</v>
      </c>
      <c r="D134" s="380">
        <f>IF(C134='4. Beheertypen complexiteit'!$C$6,VLOOKUP('2. Kostprijs per beheertype'!A134,'4. Beheertypen complexiteit'!$A$8:$I$59,3,FALSE),IF(C134='4. Beheertypen complexiteit'!$D$6,VLOOKUP('2. Kostprijs per beheertype'!A134,'4. Beheertypen complexiteit'!$A$8:$I$59,4,FALSE),IF(C134='4. Beheertypen complexiteit'!$E$6,VLOOKUP('2. Kostprijs per beheertype'!A134,'4. Beheertypen complexiteit'!$A$8:$I$59,5,FALSE),IF(C134='4. Beheertypen complexiteit'!$F$6,VLOOKUP('2. Kostprijs per beheertype'!A134,'4. Beheertypen complexiteit'!$A$8:$I$59,6,FALSE),IF(C134='4. Beheertypen complexiteit'!$G$6,VLOOKUP('2. Kostprijs per beheertype'!A134,'4. Beheertypen complexiteit'!$A$8:$I$59,7,FALSE),IF(C134='4. Beheertypen complexiteit'!$H$6,VLOOKUP('2. Kostprijs per beheertype'!A134,'4. Beheertypen complexiteit'!$A$8:$I$59,8,FALSE),IF(C134='4. Beheertypen complexiteit'!$I$6,VLOOKUP('2. Kostprijs per beheertype'!A134,'4. Beheertypen complexiteit'!$A$8:$I$59,9,FALSE),"Nvt")))))))</f>
        <v>4</v>
      </c>
      <c r="E134" s="381">
        <f>IF(C134='1. Samenvatting'!$H$9,VLOOKUP('2. Kostprijs per beheertype'!D134,'1. Samenvatting'!$G$9:$N$15,2,FALSE),IF(C134='1. Samenvatting'!$I$9,VLOOKUP('2. Kostprijs per beheertype'!D134,'1. Samenvatting'!$G$9:$N$15,3),IF(C134='1. Samenvatting'!$J$9,VLOOKUP('2. Kostprijs per beheertype'!D134,'1. Samenvatting'!$G$9:$N$15,4),IF(C134='1. Samenvatting'!$K$9,VLOOKUP('2. Kostprijs per beheertype'!D134,'1. Samenvatting'!$G$9:$N$15,5),IF(C134='1. Samenvatting'!$L$9,VLOOKUP('2. Kostprijs per beheertype'!D134,'1. Samenvatting'!$G$9:$N$15,6),IF(C134='1. Samenvatting'!$M$9,VLOOKUP('2. Kostprijs per beheertype'!D134,'1. Samenvatting'!$G$9:$N$15,7),IF(C134='1. Samenvatting'!$N$9,VLOOKUP('2. Kostprijs per beheertype'!D134,'1. Samenvatting'!$G$9:$N$15,8),"Nvt")))))))</f>
        <v>57.515134322024821</v>
      </c>
      <c r="F134" s="381">
        <f>IF(C134='1. Samenvatting'!$H$9,VLOOKUP('2. Kostprijs per beheertype'!D134,'1. Samenvatting'!$G$16:$N$20,2,FALSE),IF(C134='1. Samenvatting'!$I$9,VLOOKUP('2. Kostprijs per beheertype'!D134,'1. Samenvatting'!$G$16:$N$20,3,FALSE),IF(C134='1. Samenvatting'!$J$9,VLOOKUP('2. Kostprijs per beheertype'!D134,'1. Samenvatting'!$G$16:$N$20,4,FALSE),IF(C134='1. Samenvatting'!$K$9,VLOOKUP('2. Kostprijs per beheertype'!D134,'1. Samenvatting'!$G$16:$N$20,5,FALSE),IF(C134='1. Samenvatting'!$L$9,VLOOKUP('2. Kostprijs per beheertype'!D134,'1. Samenvatting'!$G$16:$N$20,6,FALSE),IF(C134='1. Samenvatting'!$M$9,VLOOKUP('2. Kostprijs per beheertype'!D134,'1. Samenvatting'!$G$16:$N$20,7,FALSE),IF(C134='1. Samenvatting'!$N$9,VLOOKUP('2. Kostprijs per beheertype'!D134,'1. Samenvatting'!$G$16:$N$20,8,FALSE),"Nvt")))))))</f>
        <v>57.515134322024821</v>
      </c>
      <c r="G134" s="382">
        <v>12</v>
      </c>
      <c r="H134" s="381">
        <f t="shared" si="2"/>
        <v>4.7929278601687351</v>
      </c>
      <c r="I134" s="381">
        <f t="shared" si="3"/>
        <v>4.7929278601687351</v>
      </c>
      <c r="J134" s="373"/>
      <c r="K134" s="393"/>
      <c r="L134" s="394"/>
    </row>
    <row r="135" spans="1:12" s="300" customFormat="1" ht="9" x14ac:dyDescent="0.15">
      <c r="A135" s="398" t="s">
        <v>86</v>
      </c>
      <c r="B135" s="398" t="s">
        <v>110</v>
      </c>
      <c r="C135" s="365" t="s">
        <v>19</v>
      </c>
      <c r="D135" s="366">
        <f>IF(C135='4. Beheertypen complexiteit'!$C$6,VLOOKUP('2. Kostprijs per beheertype'!A135,'4. Beheertypen complexiteit'!$A$8:$I$59,3,FALSE),IF(C135='4. Beheertypen complexiteit'!$D$6,VLOOKUP('2. Kostprijs per beheertype'!A135,'4. Beheertypen complexiteit'!$A$8:$I$59,4,FALSE),IF(C135='4. Beheertypen complexiteit'!$E$6,VLOOKUP('2. Kostprijs per beheertype'!A135,'4. Beheertypen complexiteit'!$A$8:$I$59,5,FALSE),IF(C135='4. Beheertypen complexiteit'!$F$6,VLOOKUP('2. Kostprijs per beheertype'!A135,'4. Beheertypen complexiteit'!$A$8:$I$59,6,FALSE),IF(C135='4. Beheertypen complexiteit'!$G$6,VLOOKUP('2. Kostprijs per beheertype'!A135,'4. Beheertypen complexiteit'!$A$8:$I$59,7,FALSE),IF(C135='4. Beheertypen complexiteit'!$H$6,VLOOKUP('2. Kostprijs per beheertype'!A135,'4. Beheertypen complexiteit'!$A$8:$I$59,8,FALSE),IF(C135='4. Beheertypen complexiteit'!$I$6,VLOOKUP('2. Kostprijs per beheertype'!A135,'4. Beheertypen complexiteit'!$A$8:$I$59,9,FALSE),"Nvt")))))))</f>
        <v>3</v>
      </c>
      <c r="E135" s="367">
        <f>IF(C135='1. Samenvatting'!$H$9,VLOOKUP('2. Kostprijs per beheertype'!D135,'1. Samenvatting'!$G$9:$N$15,2,FALSE),IF(C135='1. Samenvatting'!$I$9,VLOOKUP('2. Kostprijs per beheertype'!D135,'1. Samenvatting'!$G$9:$N$15,3),IF(C135='1. Samenvatting'!$J$9,VLOOKUP('2. Kostprijs per beheertype'!D135,'1. Samenvatting'!$G$9:$N$15,4),IF(C135='1. Samenvatting'!$K$9,VLOOKUP('2. Kostprijs per beheertype'!D135,'1. Samenvatting'!$G$9:$N$15,5),IF(C135='1. Samenvatting'!$L$9,VLOOKUP('2. Kostprijs per beheertype'!D135,'1. Samenvatting'!$G$9:$N$15,6),IF(C135='1. Samenvatting'!$M$9,VLOOKUP('2. Kostprijs per beheertype'!D135,'1. Samenvatting'!$G$9:$N$15,7),IF(C135='1. Samenvatting'!$N$9,VLOOKUP('2. Kostprijs per beheertype'!D135,'1. Samenvatting'!$G$9:$N$15,8),"Nvt")))))))</f>
        <v>43.559801600749353</v>
      </c>
      <c r="F135" s="367">
        <f>IF(C135='1. Samenvatting'!$H$9,VLOOKUP('2. Kostprijs per beheertype'!D135,'1. Samenvatting'!$G$16:$N$20,2,FALSE),IF(C135='1. Samenvatting'!$I$9,VLOOKUP('2. Kostprijs per beheertype'!D135,'1. Samenvatting'!$G$16:$N$20,3,FALSE),IF(C135='1. Samenvatting'!$J$9,VLOOKUP('2. Kostprijs per beheertype'!D135,'1. Samenvatting'!$G$16:$N$20,4,FALSE),IF(C135='1. Samenvatting'!$K$9,VLOOKUP('2. Kostprijs per beheertype'!D135,'1. Samenvatting'!$G$16:$N$20,5,FALSE),IF(C135='1. Samenvatting'!$L$9,VLOOKUP('2. Kostprijs per beheertype'!D135,'1. Samenvatting'!$G$16:$N$20,6,FALSE),IF(C135='1. Samenvatting'!$M$9,VLOOKUP('2. Kostprijs per beheertype'!D135,'1. Samenvatting'!$G$16:$N$20,7,FALSE),IF(C135='1. Samenvatting'!$N$9,VLOOKUP('2. Kostprijs per beheertype'!D135,'1. Samenvatting'!$G$16:$N$20,8,FALSE),"Nvt")))))))</f>
        <v>51.288023660578418</v>
      </c>
      <c r="G135" s="368">
        <v>6</v>
      </c>
      <c r="H135" s="367">
        <f t="shared" si="2"/>
        <v>7.2599669334582257</v>
      </c>
      <c r="I135" s="373">
        <f t="shared" si="3"/>
        <v>8.5480039434297357</v>
      </c>
      <c r="J135" s="367">
        <f>'3. Parameters kostprijsmodel'!$F$36</f>
        <v>3.0089563425755728</v>
      </c>
      <c r="K135" s="361">
        <f>SUM(H135:H137)+J135</f>
        <v>15.877770979154366</v>
      </c>
      <c r="L135" s="362">
        <f>SUM(I135:I137)+J135</f>
        <v>18.88281882245921</v>
      </c>
    </row>
    <row r="136" spans="1:12" s="300" customFormat="1" ht="9" x14ac:dyDescent="0.15">
      <c r="A136" s="400" t="s">
        <v>86</v>
      </c>
      <c r="B136" s="400" t="s">
        <v>110</v>
      </c>
      <c r="C136" s="414" t="s">
        <v>36</v>
      </c>
      <c r="D136" s="415">
        <f>IF(C136='4. Beheertypen complexiteit'!$C$6,VLOOKUP('2. Kostprijs per beheertype'!A136,'4. Beheertypen complexiteit'!$A$8:$I$59,3,FALSE),IF(C136='4. Beheertypen complexiteit'!$D$6,VLOOKUP('2. Kostprijs per beheertype'!A136,'4. Beheertypen complexiteit'!$A$8:$I$59,4,FALSE),IF(C136='4. Beheertypen complexiteit'!$E$6,VLOOKUP('2. Kostprijs per beheertype'!A136,'4. Beheertypen complexiteit'!$A$8:$I$59,5,FALSE),IF(C136='4. Beheertypen complexiteit'!$F$6,VLOOKUP('2. Kostprijs per beheertype'!A136,'4. Beheertypen complexiteit'!$A$8:$I$59,6,FALSE),IF(C136='4. Beheertypen complexiteit'!$G$6,VLOOKUP('2. Kostprijs per beheertype'!A136,'4. Beheertypen complexiteit'!$A$8:$I$59,7,FALSE),IF(C136='4. Beheertypen complexiteit'!$H$6,VLOOKUP('2. Kostprijs per beheertype'!A136,'4. Beheertypen complexiteit'!$A$8:$I$59,8,FALSE),IF(C136='4. Beheertypen complexiteit'!$I$6,VLOOKUP('2. Kostprijs per beheertype'!A136,'4. Beheertypen complexiteit'!$A$8:$I$59,9,FALSE),"Nvt")))))))</f>
        <v>2</v>
      </c>
      <c r="E136" s="416">
        <f>IF(C136='1. Samenvatting'!$H$9,VLOOKUP('2. Kostprijs per beheertype'!D136,'1. Samenvatting'!$G$9:$N$15,2,FALSE),IF(C136='1. Samenvatting'!$I$9,VLOOKUP('2. Kostprijs per beheertype'!D136,'1. Samenvatting'!$G$9:$N$15,3),IF(C136='1. Samenvatting'!$J$9,VLOOKUP('2. Kostprijs per beheertype'!D136,'1. Samenvatting'!$G$9:$N$15,4),IF(C136='1. Samenvatting'!$K$9,VLOOKUP('2. Kostprijs per beheertype'!D136,'1. Samenvatting'!$G$9:$N$15,5),IF(C136='1. Samenvatting'!$L$9,VLOOKUP('2. Kostprijs per beheertype'!D136,'1. Samenvatting'!$G$9:$N$15,6),IF(C136='1. Samenvatting'!$M$9,VLOOKUP('2. Kostprijs per beheertype'!D136,'1. Samenvatting'!$G$9:$N$15,7),IF(C136='1. Samenvatting'!$N$9,VLOOKUP('2. Kostprijs per beheertype'!D136,'1. Samenvatting'!$G$9:$N$15,8),"Nvt")))))))</f>
        <v>33.653086218723409</v>
      </c>
      <c r="F136" s="416">
        <f>IF(C136='1. Samenvatting'!$H$9,VLOOKUP('2. Kostprijs per beheertype'!D136,'1. Samenvatting'!$G$16:$N$20,2,FALSE),IF(C136='1. Samenvatting'!$I$9,VLOOKUP('2. Kostprijs per beheertype'!D136,'1. Samenvatting'!$G$16:$N$20,3,FALSE),IF(C136='1. Samenvatting'!$J$9,VLOOKUP('2. Kostprijs per beheertype'!D136,'1. Samenvatting'!$G$16:$N$20,4,FALSE),IF(C136='1. Samenvatting'!$K$9,VLOOKUP('2. Kostprijs per beheertype'!D136,'1. Samenvatting'!$G$16:$N$20,5,FALSE),IF(C136='1. Samenvatting'!$L$9,VLOOKUP('2. Kostprijs per beheertype'!D136,'1. Samenvatting'!$G$16:$N$20,6,FALSE),IF(C136='1. Samenvatting'!$M$9,VLOOKUP('2. Kostprijs per beheertype'!D136,'1. Samenvatting'!$G$16:$N$20,7,FALSE),IF(C136='1. Samenvatting'!$N$9,VLOOKUP('2. Kostprijs per beheertype'!D136,'1. Samenvatting'!$G$16:$N$20,8,FALSE),"Nvt")))))))</f>
        <v>43.955151218723415</v>
      </c>
      <c r="G136" s="417">
        <v>6</v>
      </c>
      <c r="H136" s="416">
        <f t="shared" si="2"/>
        <v>5.6088477031205679</v>
      </c>
      <c r="I136" s="424">
        <f t="shared" si="3"/>
        <v>7.3258585364539028</v>
      </c>
      <c r="J136" s="416"/>
      <c r="K136" s="393"/>
      <c r="L136" s="394"/>
    </row>
    <row r="137" spans="1:12" s="300" customFormat="1" ht="9" x14ac:dyDescent="0.15">
      <c r="A137" s="401" t="s">
        <v>86</v>
      </c>
      <c r="B137" s="401" t="s">
        <v>110</v>
      </c>
      <c r="C137" s="425" t="s">
        <v>155</v>
      </c>
      <c r="D137" s="380" t="str">
        <f>IF(C137='4. Beheertypen complexiteit'!$C$6,VLOOKUP('2. Kostprijs per beheertype'!A137,'4. Beheertypen complexiteit'!$A$8:$I$59,3,FALSE),IF(C137='4. Beheertypen complexiteit'!$D$6,VLOOKUP('2. Kostprijs per beheertype'!A137,'4. Beheertypen complexiteit'!$A$8:$I$59,4,FALSE),IF(C137='4. Beheertypen complexiteit'!$E$6,VLOOKUP('2. Kostprijs per beheertype'!A137,'4. Beheertypen complexiteit'!$A$8:$I$59,5,FALSE),IF(C137='4. Beheertypen complexiteit'!$F$6,VLOOKUP('2. Kostprijs per beheertype'!A137,'4. Beheertypen complexiteit'!$A$8:$I$59,6,FALSE),IF(C137='4. Beheertypen complexiteit'!$G$6,VLOOKUP('2. Kostprijs per beheertype'!A137,'4. Beheertypen complexiteit'!$A$8:$I$59,7,FALSE),IF(C137='4. Beheertypen complexiteit'!$H$6,VLOOKUP('2. Kostprijs per beheertype'!A137,'4. Beheertypen complexiteit'!$A$8:$I$59,8,FALSE),IF(C137='4. Beheertypen complexiteit'!$I$6,VLOOKUP('2. Kostprijs per beheertype'!A137,'4. Beheertypen complexiteit'!$A$8:$I$59,9,FALSE),"Nvt")))))))</f>
        <v>Nvt</v>
      </c>
      <c r="E137" s="381" t="str">
        <f>IF(C137='1. Samenvatting'!$H$9,VLOOKUP('2. Kostprijs per beheertype'!D137,'1. Samenvatting'!$G$9:$N$15,2,FALSE),IF(C137='1. Samenvatting'!$I$9,VLOOKUP('2. Kostprijs per beheertype'!D137,'1. Samenvatting'!$G$9:$N$15,3),IF(C137='1. Samenvatting'!$J$9,VLOOKUP('2. Kostprijs per beheertype'!D137,'1. Samenvatting'!$G$9:$N$15,4),IF(C137='1. Samenvatting'!$K$9,VLOOKUP('2. Kostprijs per beheertype'!D137,'1. Samenvatting'!$G$9:$N$15,5),IF(C137='1. Samenvatting'!$L$9,VLOOKUP('2. Kostprijs per beheertype'!D137,'1. Samenvatting'!$G$9:$N$15,6),IF(C137='1. Samenvatting'!$M$9,VLOOKUP('2. Kostprijs per beheertype'!D137,'1. Samenvatting'!$G$9:$N$15,7),IF(C137='1. Samenvatting'!$N$9,VLOOKUP('2. Kostprijs per beheertype'!D137,'1. Samenvatting'!$G$9:$N$15,8),"Nvt")))))))</f>
        <v>Nvt</v>
      </c>
      <c r="F137" s="381" t="str">
        <f>IF(C137='1. Samenvatting'!$H$9,VLOOKUP('2. Kostprijs per beheertype'!D137,'1. Samenvatting'!$G$16:$N$20,2,FALSE),IF(C137='1. Samenvatting'!$I$9,VLOOKUP('2. Kostprijs per beheertype'!D137,'1. Samenvatting'!$G$16:$N$20,3,FALSE),IF(C137='1. Samenvatting'!$J$9,VLOOKUP('2. Kostprijs per beheertype'!D137,'1. Samenvatting'!$G$16:$N$20,4,FALSE),IF(C137='1. Samenvatting'!$K$9,VLOOKUP('2. Kostprijs per beheertype'!D137,'1. Samenvatting'!$G$16:$N$20,5,FALSE),IF(C137='1. Samenvatting'!$L$9,VLOOKUP('2. Kostprijs per beheertype'!D137,'1. Samenvatting'!$G$16:$N$20,6,FALSE),IF(C137='1. Samenvatting'!$M$9,VLOOKUP('2. Kostprijs per beheertype'!D137,'1. Samenvatting'!$G$16:$N$20,7,FALSE),IF(C137='1. Samenvatting'!$N$9,VLOOKUP('2. Kostprijs per beheertype'!D137,'1. Samenvatting'!$G$16:$N$20,8,FALSE),"Nvt")))))))</f>
        <v>Nvt</v>
      </c>
      <c r="G137" s="382">
        <v>6</v>
      </c>
      <c r="H137" s="381">
        <f t="shared" si="2"/>
        <v>0</v>
      </c>
      <c r="I137" s="381">
        <f t="shared" si="3"/>
        <v>0</v>
      </c>
      <c r="J137" s="381"/>
      <c r="K137" s="396"/>
      <c r="L137" s="397"/>
    </row>
    <row r="138" spans="1:12" s="300" customFormat="1" ht="9" x14ac:dyDescent="0.15">
      <c r="A138" s="398" t="s">
        <v>112</v>
      </c>
      <c r="B138" s="398" t="s">
        <v>113</v>
      </c>
      <c r="C138" s="365" t="s">
        <v>19</v>
      </c>
      <c r="D138" s="366">
        <f>IF(C138='4. Beheertypen complexiteit'!$C$6,VLOOKUP('2. Kostprijs per beheertype'!A138,'4. Beheertypen complexiteit'!$A$8:$I$59,3,FALSE),IF(C138='4. Beheertypen complexiteit'!$D$6,VLOOKUP('2. Kostprijs per beheertype'!A138,'4. Beheertypen complexiteit'!$A$8:$I$59,4,FALSE),IF(C138='4. Beheertypen complexiteit'!$E$6,VLOOKUP('2. Kostprijs per beheertype'!A138,'4. Beheertypen complexiteit'!$A$8:$I$59,5,FALSE),IF(C138='4. Beheertypen complexiteit'!$F$6,VLOOKUP('2. Kostprijs per beheertype'!A138,'4. Beheertypen complexiteit'!$A$8:$I$59,6,FALSE),IF(C138='4. Beheertypen complexiteit'!$G$6,VLOOKUP('2. Kostprijs per beheertype'!A138,'4. Beheertypen complexiteit'!$A$8:$I$59,7,FALSE),IF(C138='4. Beheertypen complexiteit'!$H$6,VLOOKUP('2. Kostprijs per beheertype'!A138,'4. Beheertypen complexiteit'!$A$8:$I$59,8,FALSE),IF(C138='4. Beheertypen complexiteit'!$I$6,VLOOKUP('2. Kostprijs per beheertype'!A138,'4. Beheertypen complexiteit'!$A$8:$I$59,9,FALSE),"Nvt")))))))</f>
        <v>2</v>
      </c>
      <c r="E138" s="367">
        <f>IF(C138='1. Samenvatting'!$H$9,VLOOKUP('2. Kostprijs per beheertype'!D138,'1. Samenvatting'!$G$9:$N$15,2,FALSE),IF(C138='1. Samenvatting'!$I$9,VLOOKUP('2. Kostprijs per beheertype'!D138,'1. Samenvatting'!$G$9:$N$15,3),IF(C138='1. Samenvatting'!$J$9,VLOOKUP('2. Kostprijs per beheertype'!D138,'1. Samenvatting'!$G$9:$N$15,4),IF(C138='1. Samenvatting'!$K$9,VLOOKUP('2. Kostprijs per beheertype'!D138,'1. Samenvatting'!$G$9:$N$15,5),IF(C138='1. Samenvatting'!$L$9,VLOOKUP('2. Kostprijs per beheertype'!D138,'1. Samenvatting'!$G$9:$N$15,6),IF(C138='1. Samenvatting'!$M$9,VLOOKUP('2. Kostprijs per beheertype'!D138,'1. Samenvatting'!$G$9:$N$15,7),IF(C138='1. Samenvatting'!$N$9,VLOOKUP('2. Kostprijs per beheertype'!D138,'1. Samenvatting'!$G$9:$N$15,8),"Nvt")))))))</f>
        <v>55.738852766567376</v>
      </c>
      <c r="F138" s="367">
        <f>IF(C138='1. Samenvatting'!$H$9,VLOOKUP('2. Kostprijs per beheertype'!D138,'1. Samenvatting'!$G$16:$N$20,2,FALSE),IF(C138='1. Samenvatting'!$I$9,VLOOKUP('2. Kostprijs per beheertype'!D138,'1. Samenvatting'!$G$16:$N$20,3,FALSE),IF(C138='1. Samenvatting'!$J$9,VLOOKUP('2. Kostprijs per beheertype'!D138,'1. Samenvatting'!$G$16:$N$20,4,FALSE),IF(C138='1. Samenvatting'!$K$9,VLOOKUP('2. Kostprijs per beheertype'!D138,'1. Samenvatting'!$G$16:$N$20,5,FALSE),IF(C138='1. Samenvatting'!$L$9,VLOOKUP('2. Kostprijs per beheertype'!D138,'1. Samenvatting'!$G$16:$N$20,6,FALSE),IF(C138='1. Samenvatting'!$M$9,VLOOKUP('2. Kostprijs per beheertype'!D138,'1. Samenvatting'!$G$16:$N$20,7,FALSE),IF(C138='1. Samenvatting'!$N$9,VLOOKUP('2. Kostprijs per beheertype'!D138,'1. Samenvatting'!$G$16:$N$20,8,FALSE),"Nvt")))))))</f>
        <v>66.622547266567381</v>
      </c>
      <c r="G138" s="368">
        <v>6</v>
      </c>
      <c r="H138" s="367">
        <f t="shared" si="2"/>
        <v>9.2898087944278966</v>
      </c>
      <c r="I138" s="367">
        <f t="shared" si="3"/>
        <v>11.103757877761231</v>
      </c>
      <c r="J138" s="367">
        <f>'3. Parameters kostprijsmodel'!$F$36</f>
        <v>3.0089563425755728</v>
      </c>
      <c r="K138" s="361">
        <f>SUM(H138:H140)+J138</f>
        <v>28.254945601628158</v>
      </c>
      <c r="L138" s="362">
        <f>SUM(I138:I140)+J138</f>
        <v>31.785905518294825</v>
      </c>
    </row>
    <row r="139" spans="1:12" s="300" customFormat="1" ht="9" x14ac:dyDescent="0.15">
      <c r="A139" s="400" t="s">
        <v>112</v>
      </c>
      <c r="B139" s="400" t="s">
        <v>113</v>
      </c>
      <c r="C139" s="414" t="s">
        <v>36</v>
      </c>
      <c r="D139" s="415">
        <f>IF(C139='4. Beheertypen complexiteit'!$C$6,VLOOKUP('2. Kostprijs per beheertype'!A139,'4. Beheertypen complexiteit'!$A$8:$I$59,3,FALSE),IF(C139='4. Beheertypen complexiteit'!$D$6,VLOOKUP('2. Kostprijs per beheertype'!A139,'4. Beheertypen complexiteit'!$A$8:$I$59,4,FALSE),IF(C139='4. Beheertypen complexiteit'!$E$6,VLOOKUP('2. Kostprijs per beheertype'!A139,'4. Beheertypen complexiteit'!$A$8:$I$59,5,FALSE),IF(C139='4. Beheertypen complexiteit'!$F$6,VLOOKUP('2. Kostprijs per beheertype'!A139,'4. Beheertypen complexiteit'!$A$8:$I$59,6,FALSE),IF(C139='4. Beheertypen complexiteit'!$G$6,VLOOKUP('2. Kostprijs per beheertype'!A139,'4. Beheertypen complexiteit'!$A$8:$I$59,7,FALSE),IF(C139='4. Beheertypen complexiteit'!$H$6,VLOOKUP('2. Kostprijs per beheertype'!A139,'4. Beheertypen complexiteit'!$A$8:$I$59,8,FALSE),IF(C139='4. Beheertypen complexiteit'!$I$6,VLOOKUP('2. Kostprijs per beheertype'!A139,'4. Beheertypen complexiteit'!$A$8:$I$59,9,FALSE),"Nvt")))))))</f>
        <v>2</v>
      </c>
      <c r="E139" s="416">
        <f>IF(C139='1. Samenvatting'!$H$9,VLOOKUP('2. Kostprijs per beheertype'!D139,'1. Samenvatting'!$G$9:$N$15,2,FALSE),IF(C139='1. Samenvatting'!$I$9,VLOOKUP('2. Kostprijs per beheertype'!D139,'1. Samenvatting'!$G$9:$N$15,3),IF(C139='1. Samenvatting'!$J$9,VLOOKUP('2. Kostprijs per beheertype'!D139,'1. Samenvatting'!$G$9:$N$15,4),IF(C139='1. Samenvatting'!$K$9,VLOOKUP('2. Kostprijs per beheertype'!D139,'1. Samenvatting'!$G$9:$N$15,5),IF(C139='1. Samenvatting'!$L$9,VLOOKUP('2. Kostprijs per beheertype'!D139,'1. Samenvatting'!$G$9:$N$15,6),IF(C139='1. Samenvatting'!$M$9,VLOOKUP('2. Kostprijs per beheertype'!D139,'1. Samenvatting'!$G$9:$N$15,7),IF(C139='1. Samenvatting'!$N$9,VLOOKUP('2. Kostprijs per beheertype'!D139,'1. Samenvatting'!$G$9:$N$15,8),"Nvt")))))))</f>
        <v>33.653086218723409</v>
      </c>
      <c r="F139" s="416">
        <f>IF(C139='1. Samenvatting'!$H$9,VLOOKUP('2. Kostprijs per beheertype'!D139,'1. Samenvatting'!$G$16:$N$20,2,FALSE),IF(C139='1. Samenvatting'!$I$9,VLOOKUP('2. Kostprijs per beheertype'!D139,'1. Samenvatting'!$G$16:$N$20,3,FALSE),IF(C139='1. Samenvatting'!$J$9,VLOOKUP('2. Kostprijs per beheertype'!D139,'1. Samenvatting'!$G$16:$N$20,4,FALSE),IF(C139='1. Samenvatting'!$K$9,VLOOKUP('2. Kostprijs per beheertype'!D139,'1. Samenvatting'!$G$16:$N$20,5,FALSE),IF(C139='1. Samenvatting'!$L$9,VLOOKUP('2. Kostprijs per beheertype'!D139,'1. Samenvatting'!$G$16:$N$20,6,FALSE),IF(C139='1. Samenvatting'!$M$9,VLOOKUP('2. Kostprijs per beheertype'!D139,'1. Samenvatting'!$G$16:$N$20,7,FALSE),IF(C139='1. Samenvatting'!$N$9,VLOOKUP('2. Kostprijs per beheertype'!D139,'1. Samenvatting'!$G$16:$N$20,8,FALSE),"Nvt")))))))</f>
        <v>43.955151218723415</v>
      </c>
      <c r="G139" s="417">
        <v>6</v>
      </c>
      <c r="H139" s="416">
        <f t="shared" si="2"/>
        <v>5.6088477031205679</v>
      </c>
      <c r="I139" s="416">
        <f t="shared" si="3"/>
        <v>7.3258585364539028</v>
      </c>
      <c r="J139" s="416"/>
      <c r="K139" s="393"/>
      <c r="L139" s="394"/>
    </row>
    <row r="140" spans="1:12" s="300" customFormat="1" ht="9" x14ac:dyDescent="0.15">
      <c r="A140" s="401" t="s">
        <v>112</v>
      </c>
      <c r="B140" s="401" t="s">
        <v>113</v>
      </c>
      <c r="C140" s="379" t="s">
        <v>16</v>
      </c>
      <c r="D140" s="380">
        <f>IF(C140='4. Beheertypen complexiteit'!$C$6,VLOOKUP('2. Kostprijs per beheertype'!A140,'4. Beheertypen complexiteit'!$A$8:$I$59,3,FALSE),IF(C140='4. Beheertypen complexiteit'!$D$6,VLOOKUP('2. Kostprijs per beheertype'!A140,'4. Beheertypen complexiteit'!$A$8:$I$59,4,FALSE),IF(C140='4. Beheertypen complexiteit'!$E$6,VLOOKUP('2. Kostprijs per beheertype'!A140,'4. Beheertypen complexiteit'!$A$8:$I$59,5,FALSE),IF(C140='4. Beheertypen complexiteit'!$F$6,VLOOKUP('2. Kostprijs per beheertype'!A140,'4. Beheertypen complexiteit'!$A$8:$I$59,6,FALSE),IF(C140='4. Beheertypen complexiteit'!$G$6,VLOOKUP('2. Kostprijs per beheertype'!A140,'4. Beheertypen complexiteit'!$A$8:$I$59,7,FALSE),IF(C140='4. Beheertypen complexiteit'!$H$6,VLOOKUP('2. Kostprijs per beheertype'!A140,'4. Beheertypen complexiteit'!$A$8:$I$59,8,FALSE),IF(C140='4. Beheertypen complexiteit'!$I$6,VLOOKUP('2. Kostprijs per beheertype'!A140,'4. Beheertypen complexiteit'!$A$8:$I$59,9,FALSE),"Nvt")))))))</f>
        <v>2</v>
      </c>
      <c r="E140" s="381">
        <f>IF(C140='1. Samenvatting'!$H$9,VLOOKUP('2. Kostprijs per beheertype'!D140,'1. Samenvatting'!$G$9:$N$15,2,FALSE),IF(C140='1. Samenvatting'!$I$9,VLOOKUP('2. Kostprijs per beheertype'!D140,'1. Samenvatting'!$G$9:$N$15,3),IF(C140='1. Samenvatting'!$J$9,VLOOKUP('2. Kostprijs per beheertype'!D140,'1. Samenvatting'!$G$9:$N$15,4),IF(C140='1. Samenvatting'!$K$9,VLOOKUP('2. Kostprijs per beheertype'!D140,'1. Samenvatting'!$G$9:$N$15,5),IF(C140='1. Samenvatting'!$L$9,VLOOKUP('2. Kostprijs per beheertype'!D140,'1. Samenvatting'!$G$9:$N$15,6),IF(C140='1. Samenvatting'!$M$9,VLOOKUP('2. Kostprijs per beheertype'!D140,'1. Samenvatting'!$G$9:$N$15,7),IF(C140='1. Samenvatting'!$N$9,VLOOKUP('2. Kostprijs per beheertype'!D140,'1. Samenvatting'!$G$9:$N$15,8),"Nvt")))))))</f>
        <v>124.16799313804943</v>
      </c>
      <c r="F140" s="381">
        <f>IF(C140='1. Samenvatting'!$H$9,VLOOKUP('2. Kostprijs per beheertype'!D140,'1. Samenvatting'!$G$16:$N$20,2,FALSE),IF(C140='1. Samenvatting'!$I$9,VLOOKUP('2. Kostprijs per beheertype'!D140,'1. Samenvatting'!$G$16:$N$20,3,FALSE),IF(C140='1. Samenvatting'!$J$9,VLOOKUP('2. Kostprijs per beheertype'!D140,'1. Samenvatting'!$G$16:$N$20,4,FALSE),IF(C140='1. Samenvatting'!$K$9,VLOOKUP('2. Kostprijs per beheertype'!D140,'1. Samenvatting'!$G$16:$N$20,5,FALSE),IF(C140='1. Samenvatting'!$L$9,VLOOKUP('2. Kostprijs per beheertype'!D140,'1. Samenvatting'!$G$16:$N$20,6,FALSE),IF(C140='1. Samenvatting'!$M$9,VLOOKUP('2. Kostprijs per beheertype'!D140,'1. Samenvatting'!$G$16:$N$20,7,FALSE),IF(C140='1. Samenvatting'!$N$9,VLOOKUP('2. Kostprijs per beheertype'!D140,'1. Samenvatting'!$G$16:$N$20,8,FALSE),"Nvt")))))))</f>
        <v>124.16799313804943</v>
      </c>
      <c r="G140" s="382">
        <v>12</v>
      </c>
      <c r="H140" s="381">
        <f t="shared" si="2"/>
        <v>10.347332761504118</v>
      </c>
      <c r="I140" s="381">
        <f t="shared" si="3"/>
        <v>10.347332761504118</v>
      </c>
      <c r="J140" s="381"/>
      <c r="K140" s="396"/>
      <c r="L140" s="397"/>
    </row>
    <row r="141" spans="1:12" s="300" customFormat="1" ht="9" x14ac:dyDescent="0.15">
      <c r="A141" s="398" t="s">
        <v>114</v>
      </c>
      <c r="B141" s="398" t="s">
        <v>115</v>
      </c>
      <c r="C141" s="365" t="s">
        <v>19</v>
      </c>
      <c r="D141" s="366">
        <f>IF(C141='4. Beheertypen complexiteit'!$C$6,VLOOKUP('2. Kostprijs per beheertype'!A141,'4. Beheertypen complexiteit'!$A$8:$I$59,3,FALSE),IF(C141='4. Beheertypen complexiteit'!$D$6,VLOOKUP('2. Kostprijs per beheertype'!A141,'4. Beheertypen complexiteit'!$A$8:$I$59,4,FALSE),IF(C141='4. Beheertypen complexiteit'!$E$6,VLOOKUP('2. Kostprijs per beheertype'!A141,'4. Beheertypen complexiteit'!$A$8:$I$59,5,FALSE),IF(C141='4. Beheertypen complexiteit'!$F$6,VLOOKUP('2. Kostprijs per beheertype'!A141,'4. Beheertypen complexiteit'!$A$8:$I$59,6,FALSE),IF(C141='4. Beheertypen complexiteit'!$G$6,VLOOKUP('2. Kostprijs per beheertype'!A141,'4. Beheertypen complexiteit'!$A$8:$I$59,7,FALSE),IF(C141='4. Beheertypen complexiteit'!$H$6,VLOOKUP('2. Kostprijs per beheertype'!A141,'4. Beheertypen complexiteit'!$A$8:$I$59,8,FALSE),IF(C141='4. Beheertypen complexiteit'!$I$6,VLOOKUP('2. Kostprijs per beheertype'!A141,'4. Beheertypen complexiteit'!$A$8:$I$59,9,FALSE),"Nvt")))))))</f>
        <v>2</v>
      </c>
      <c r="E141" s="367">
        <f>IF(C141='1. Samenvatting'!$H$9,VLOOKUP('2. Kostprijs per beheertype'!D141,'1. Samenvatting'!$G$9:$N$15,2,FALSE),IF(C141='1. Samenvatting'!$I$9,VLOOKUP('2. Kostprijs per beheertype'!D141,'1. Samenvatting'!$G$9:$N$15,3),IF(C141='1. Samenvatting'!$J$9,VLOOKUP('2. Kostprijs per beheertype'!D141,'1. Samenvatting'!$G$9:$N$15,4),IF(C141='1. Samenvatting'!$K$9,VLOOKUP('2. Kostprijs per beheertype'!D141,'1. Samenvatting'!$G$9:$N$15,5),IF(C141='1. Samenvatting'!$L$9,VLOOKUP('2. Kostprijs per beheertype'!D141,'1. Samenvatting'!$G$9:$N$15,6),IF(C141='1. Samenvatting'!$M$9,VLOOKUP('2. Kostprijs per beheertype'!D141,'1. Samenvatting'!$G$9:$N$15,7),IF(C141='1. Samenvatting'!$N$9,VLOOKUP('2. Kostprijs per beheertype'!D141,'1. Samenvatting'!$G$9:$N$15,8),"Nvt")))))))</f>
        <v>55.738852766567376</v>
      </c>
      <c r="F141" s="367">
        <f>IF(C141='1. Samenvatting'!$H$9,VLOOKUP('2. Kostprijs per beheertype'!D141,'1. Samenvatting'!$G$16:$N$20,2,FALSE),IF(C141='1. Samenvatting'!$I$9,VLOOKUP('2. Kostprijs per beheertype'!D141,'1. Samenvatting'!$G$16:$N$20,3,FALSE),IF(C141='1. Samenvatting'!$J$9,VLOOKUP('2. Kostprijs per beheertype'!D141,'1. Samenvatting'!$G$16:$N$20,4,FALSE),IF(C141='1. Samenvatting'!$K$9,VLOOKUP('2. Kostprijs per beheertype'!D141,'1. Samenvatting'!$G$16:$N$20,5,FALSE),IF(C141='1. Samenvatting'!$L$9,VLOOKUP('2. Kostprijs per beheertype'!D141,'1. Samenvatting'!$G$16:$N$20,6,FALSE),IF(C141='1. Samenvatting'!$M$9,VLOOKUP('2. Kostprijs per beheertype'!D141,'1. Samenvatting'!$G$16:$N$20,7,FALSE),IF(C141='1. Samenvatting'!$N$9,VLOOKUP('2. Kostprijs per beheertype'!D141,'1. Samenvatting'!$G$16:$N$20,8,FALSE),"Nvt")))))))</f>
        <v>66.622547266567381</v>
      </c>
      <c r="G141" s="368">
        <v>6</v>
      </c>
      <c r="H141" s="367">
        <f t="shared" si="2"/>
        <v>9.2898087944278966</v>
      </c>
      <c r="I141" s="367">
        <f t="shared" si="3"/>
        <v>11.103757877761231</v>
      </c>
      <c r="J141" s="367">
        <f>'3. Parameters kostprijsmodel'!$F$36</f>
        <v>3.0089563425755728</v>
      </c>
      <c r="K141" s="361">
        <f>SUM(H141:H144)+J141</f>
        <v>28.403175244971493</v>
      </c>
      <c r="L141" s="362">
        <f>SUM(I141:I144)+J141</f>
        <v>30.38746077061252</v>
      </c>
    </row>
    <row r="142" spans="1:12" s="300" customFormat="1" ht="9" x14ac:dyDescent="0.15">
      <c r="A142" s="400" t="s">
        <v>114</v>
      </c>
      <c r="B142" s="400" t="s">
        <v>115</v>
      </c>
      <c r="C142" s="371" t="s">
        <v>21</v>
      </c>
      <c r="D142" s="372">
        <f>IF(C142='4. Beheertypen complexiteit'!$C$6,VLOOKUP('2. Kostprijs per beheertype'!A142,'4. Beheertypen complexiteit'!$A$8:$I$59,3,FALSE),IF(C142='4. Beheertypen complexiteit'!$D$6,VLOOKUP('2. Kostprijs per beheertype'!A142,'4. Beheertypen complexiteit'!$A$8:$I$59,4,FALSE),IF(C142='4. Beheertypen complexiteit'!$E$6,VLOOKUP('2. Kostprijs per beheertype'!A142,'4. Beheertypen complexiteit'!$A$8:$I$59,5,FALSE),IF(C142='4. Beheertypen complexiteit'!$F$6,VLOOKUP('2. Kostprijs per beheertype'!A142,'4. Beheertypen complexiteit'!$A$8:$I$59,6,FALSE),IF(C142='4. Beheertypen complexiteit'!$G$6,VLOOKUP('2. Kostprijs per beheertype'!A142,'4. Beheertypen complexiteit'!$A$8:$I$59,7,FALSE),IF(C142='4. Beheertypen complexiteit'!$H$6,VLOOKUP('2. Kostprijs per beheertype'!A142,'4. Beheertypen complexiteit'!$A$8:$I$59,8,FALSE),IF(C142='4. Beheertypen complexiteit'!$I$6,VLOOKUP('2. Kostprijs per beheertype'!A142,'4. Beheertypen complexiteit'!$A$8:$I$59,9,FALSE),"Nvt")))))))</f>
        <v>2</v>
      </c>
      <c r="E142" s="373">
        <f>IF(C142='1. Samenvatting'!$H$9,VLOOKUP('2. Kostprijs per beheertype'!D142,'1. Samenvatting'!$G$9:$N$15,2,FALSE),IF(C142='1. Samenvatting'!$I$9,VLOOKUP('2. Kostprijs per beheertype'!D142,'1. Samenvatting'!$G$9:$N$15,3),IF(C142='1. Samenvatting'!$J$9,VLOOKUP('2. Kostprijs per beheertype'!D142,'1. Samenvatting'!$G$9:$N$15,4),IF(C142='1. Samenvatting'!$K$9,VLOOKUP('2. Kostprijs per beheertype'!D142,'1. Samenvatting'!$G$9:$N$15,5),IF(C142='1. Samenvatting'!$L$9,VLOOKUP('2. Kostprijs per beheertype'!D142,'1. Samenvatting'!$G$9:$N$15,6),IF(C142='1. Samenvatting'!$M$9,VLOOKUP('2. Kostprijs per beheertype'!D142,'1. Samenvatting'!$G$9:$N$15,7),IF(C142='1. Samenvatting'!$N$9,VLOOKUP('2. Kostprijs per beheertype'!D142,'1. Samenvatting'!$G$9:$N$15,8),"Nvt")))))))</f>
        <v>34.542464078783418</v>
      </c>
      <c r="F142" s="373">
        <f>IF(C142='1. Samenvatting'!$H$9,VLOOKUP('2. Kostprijs per beheertype'!D142,'1. Samenvatting'!$G$16:$N$20,2,FALSE),IF(C142='1. Samenvatting'!$I$9,VLOOKUP('2. Kostprijs per beheertype'!D142,'1. Samenvatting'!$G$16:$N$20,3,FALSE),IF(C142='1. Samenvatting'!$J$9,VLOOKUP('2. Kostprijs per beheertype'!D142,'1. Samenvatting'!$G$16:$N$20,4,FALSE),IF(C142='1. Samenvatting'!$K$9,VLOOKUP('2. Kostprijs per beheertype'!D142,'1. Samenvatting'!$G$16:$N$20,5,FALSE),IF(C142='1. Samenvatting'!$L$9,VLOOKUP('2. Kostprijs per beheertype'!D142,'1. Samenvatting'!$G$16:$N$20,6,FALSE),IF(C142='1. Samenvatting'!$M$9,VLOOKUP('2. Kostprijs per beheertype'!D142,'1. Samenvatting'!$G$16:$N$20,7,FALSE),IF(C142='1. Samenvatting'!$N$9,VLOOKUP('2. Kostprijs per beheertype'!D142,'1. Samenvatting'!$G$16:$N$20,8,FALSE),"Nvt")))))))</f>
        <v>35.564482732629571</v>
      </c>
      <c r="G142" s="374">
        <v>6</v>
      </c>
      <c r="H142" s="373">
        <f t="shared" si="2"/>
        <v>5.7570773464639027</v>
      </c>
      <c r="I142" s="373">
        <f t="shared" si="3"/>
        <v>5.9274137887715952</v>
      </c>
      <c r="J142" s="373"/>
      <c r="K142" s="393"/>
      <c r="L142" s="394"/>
    </row>
    <row r="143" spans="1:12" s="300" customFormat="1" ht="9" x14ac:dyDescent="0.15">
      <c r="A143" s="400" t="s">
        <v>114</v>
      </c>
      <c r="B143" s="400" t="s">
        <v>115</v>
      </c>
      <c r="C143" s="371" t="s">
        <v>155</v>
      </c>
      <c r="D143" s="372" t="str">
        <f>IF(C143='4. Beheertypen complexiteit'!$C$6,VLOOKUP('2. Kostprijs per beheertype'!A143,'4. Beheertypen complexiteit'!$A$8:$I$59,3,FALSE),IF(C143='4. Beheertypen complexiteit'!$D$6,VLOOKUP('2. Kostprijs per beheertype'!A143,'4. Beheertypen complexiteit'!$A$8:$I$59,4,FALSE),IF(C143='4. Beheertypen complexiteit'!$E$6,VLOOKUP('2. Kostprijs per beheertype'!A143,'4. Beheertypen complexiteit'!$A$8:$I$59,5,FALSE),IF(C143='4. Beheertypen complexiteit'!$F$6,VLOOKUP('2. Kostprijs per beheertype'!A143,'4. Beheertypen complexiteit'!$A$8:$I$59,6,FALSE),IF(C143='4. Beheertypen complexiteit'!$G$6,VLOOKUP('2. Kostprijs per beheertype'!A143,'4. Beheertypen complexiteit'!$A$8:$I$59,7,FALSE),IF(C143='4. Beheertypen complexiteit'!$H$6,VLOOKUP('2. Kostprijs per beheertype'!A143,'4. Beheertypen complexiteit'!$A$8:$I$59,8,FALSE),IF(C143='4. Beheertypen complexiteit'!$I$6,VLOOKUP('2. Kostprijs per beheertype'!A143,'4. Beheertypen complexiteit'!$A$8:$I$59,9,FALSE),"Nvt")))))))</f>
        <v>Nvt</v>
      </c>
      <c r="E143" s="373" t="str">
        <f>IF(C143='1. Samenvatting'!$H$9,VLOOKUP('2. Kostprijs per beheertype'!D143,'1. Samenvatting'!$G$9:$N$15,2,FALSE),IF(C143='1. Samenvatting'!$I$9,VLOOKUP('2. Kostprijs per beheertype'!D143,'1. Samenvatting'!$G$9:$N$15,3),IF(C143='1. Samenvatting'!$J$9,VLOOKUP('2. Kostprijs per beheertype'!D143,'1. Samenvatting'!$G$9:$N$15,4),IF(C143='1. Samenvatting'!$K$9,VLOOKUP('2. Kostprijs per beheertype'!D143,'1. Samenvatting'!$G$9:$N$15,5),IF(C143='1. Samenvatting'!$L$9,VLOOKUP('2. Kostprijs per beheertype'!D143,'1. Samenvatting'!$G$9:$N$15,6),IF(C143='1. Samenvatting'!$M$9,VLOOKUP('2. Kostprijs per beheertype'!D143,'1. Samenvatting'!$G$9:$N$15,7),IF(C143='1. Samenvatting'!$N$9,VLOOKUP('2. Kostprijs per beheertype'!D143,'1. Samenvatting'!$G$9:$N$15,8),"Nvt")))))))</f>
        <v>Nvt</v>
      </c>
      <c r="F143" s="373" t="str">
        <f>IF(C143='1. Samenvatting'!$H$9,VLOOKUP('2. Kostprijs per beheertype'!D143,'1. Samenvatting'!$G$16:$N$20,2,FALSE),IF(C143='1. Samenvatting'!$I$9,VLOOKUP('2. Kostprijs per beheertype'!D143,'1. Samenvatting'!$G$16:$N$20,3,FALSE),IF(C143='1. Samenvatting'!$J$9,VLOOKUP('2. Kostprijs per beheertype'!D143,'1. Samenvatting'!$G$16:$N$20,4,FALSE),IF(C143='1. Samenvatting'!$K$9,VLOOKUP('2. Kostprijs per beheertype'!D143,'1. Samenvatting'!$G$16:$N$20,5,FALSE),IF(C143='1. Samenvatting'!$L$9,VLOOKUP('2. Kostprijs per beheertype'!D143,'1. Samenvatting'!$G$16:$N$20,6,FALSE),IF(C143='1. Samenvatting'!$M$9,VLOOKUP('2. Kostprijs per beheertype'!D143,'1. Samenvatting'!$G$16:$N$20,7,FALSE),IF(C143='1. Samenvatting'!$N$9,VLOOKUP('2. Kostprijs per beheertype'!D143,'1. Samenvatting'!$G$16:$N$20,8,FALSE),"Nvt")))))))</f>
        <v>Nvt</v>
      </c>
      <c r="G143" s="374">
        <v>6</v>
      </c>
      <c r="H143" s="373">
        <f t="shared" ref="H143:H178" si="4">IF(E143="Nvt",0,E143/G143)</f>
        <v>0</v>
      </c>
      <c r="I143" s="373">
        <f t="shared" ref="I143:I178" si="5">IF(F143="Nvt",0,F143/G143)</f>
        <v>0</v>
      </c>
      <c r="J143" s="373"/>
      <c r="K143" s="393"/>
      <c r="L143" s="394"/>
    </row>
    <row r="144" spans="1:12" s="300" customFormat="1" ht="9" x14ac:dyDescent="0.15">
      <c r="A144" s="401" t="s">
        <v>114</v>
      </c>
      <c r="B144" s="401" t="s">
        <v>115</v>
      </c>
      <c r="C144" s="379" t="s">
        <v>16</v>
      </c>
      <c r="D144" s="380">
        <f>IF(C144='4. Beheertypen complexiteit'!$C$6,VLOOKUP('2. Kostprijs per beheertype'!A144,'4. Beheertypen complexiteit'!$A$8:$I$59,3,FALSE),IF(C144='4. Beheertypen complexiteit'!$D$6,VLOOKUP('2. Kostprijs per beheertype'!A144,'4. Beheertypen complexiteit'!$A$8:$I$59,4,FALSE),IF(C144='4. Beheertypen complexiteit'!$E$6,VLOOKUP('2. Kostprijs per beheertype'!A144,'4. Beheertypen complexiteit'!$A$8:$I$59,5,FALSE),IF(C144='4. Beheertypen complexiteit'!$F$6,VLOOKUP('2. Kostprijs per beheertype'!A144,'4. Beheertypen complexiteit'!$A$8:$I$59,6,FALSE),IF(C144='4. Beheertypen complexiteit'!$G$6,VLOOKUP('2. Kostprijs per beheertype'!A144,'4. Beheertypen complexiteit'!$A$8:$I$59,7,FALSE),IF(C144='4. Beheertypen complexiteit'!$H$6,VLOOKUP('2. Kostprijs per beheertype'!A144,'4. Beheertypen complexiteit'!$A$8:$I$59,8,FALSE),IF(C144='4. Beheertypen complexiteit'!$I$6,VLOOKUP('2. Kostprijs per beheertype'!A144,'4. Beheertypen complexiteit'!$A$8:$I$59,9,FALSE),"Nvt")))))))</f>
        <v>2</v>
      </c>
      <c r="E144" s="381">
        <f>IF(C144='1. Samenvatting'!$H$9,VLOOKUP('2. Kostprijs per beheertype'!D144,'1. Samenvatting'!$G$9:$N$15,2,FALSE),IF(C144='1. Samenvatting'!$I$9,VLOOKUP('2. Kostprijs per beheertype'!D144,'1. Samenvatting'!$G$9:$N$15,3),IF(C144='1. Samenvatting'!$J$9,VLOOKUP('2. Kostprijs per beheertype'!D144,'1. Samenvatting'!$G$9:$N$15,4),IF(C144='1. Samenvatting'!$K$9,VLOOKUP('2. Kostprijs per beheertype'!D144,'1. Samenvatting'!$G$9:$N$15,5),IF(C144='1. Samenvatting'!$L$9,VLOOKUP('2. Kostprijs per beheertype'!D144,'1. Samenvatting'!$G$9:$N$15,6),IF(C144='1. Samenvatting'!$M$9,VLOOKUP('2. Kostprijs per beheertype'!D144,'1. Samenvatting'!$G$9:$N$15,7),IF(C144='1. Samenvatting'!$N$9,VLOOKUP('2. Kostprijs per beheertype'!D144,'1. Samenvatting'!$G$9:$N$15,8),"Nvt")))))))</f>
        <v>124.16799313804943</v>
      </c>
      <c r="F144" s="381">
        <f>IF(C144='1. Samenvatting'!$H$9,VLOOKUP('2. Kostprijs per beheertype'!D144,'1. Samenvatting'!$G$16:$N$20,2,FALSE),IF(C144='1. Samenvatting'!$I$9,VLOOKUP('2. Kostprijs per beheertype'!D144,'1. Samenvatting'!$G$16:$N$20,3,FALSE),IF(C144='1. Samenvatting'!$J$9,VLOOKUP('2. Kostprijs per beheertype'!D144,'1. Samenvatting'!$G$16:$N$20,4,FALSE),IF(C144='1. Samenvatting'!$K$9,VLOOKUP('2. Kostprijs per beheertype'!D144,'1. Samenvatting'!$G$16:$N$20,5,FALSE),IF(C144='1. Samenvatting'!$L$9,VLOOKUP('2. Kostprijs per beheertype'!D144,'1. Samenvatting'!$G$16:$N$20,6,FALSE),IF(C144='1. Samenvatting'!$M$9,VLOOKUP('2. Kostprijs per beheertype'!D144,'1. Samenvatting'!$G$16:$N$20,7,FALSE),IF(C144='1. Samenvatting'!$N$9,VLOOKUP('2. Kostprijs per beheertype'!D144,'1. Samenvatting'!$G$16:$N$20,8,FALSE),"Nvt")))))))</f>
        <v>124.16799313804943</v>
      </c>
      <c r="G144" s="382">
        <v>12</v>
      </c>
      <c r="H144" s="381">
        <f t="shared" si="4"/>
        <v>10.347332761504118</v>
      </c>
      <c r="I144" s="381">
        <f t="shared" si="5"/>
        <v>10.347332761504118</v>
      </c>
      <c r="J144" s="381"/>
      <c r="K144" s="396"/>
      <c r="L144" s="397"/>
    </row>
    <row r="145" spans="1:12" s="300" customFormat="1" ht="9" x14ac:dyDescent="0.15">
      <c r="A145" s="398" t="s">
        <v>116</v>
      </c>
      <c r="B145" s="398" t="s">
        <v>117</v>
      </c>
      <c r="C145" s="365" t="s">
        <v>19</v>
      </c>
      <c r="D145" s="366">
        <f>IF(C145='4. Beheertypen complexiteit'!$C$6,VLOOKUP('2. Kostprijs per beheertype'!A145,'4. Beheertypen complexiteit'!$A$8:$I$59,3,FALSE),IF(C145='4. Beheertypen complexiteit'!$D$6,VLOOKUP('2. Kostprijs per beheertype'!A145,'4. Beheertypen complexiteit'!$A$8:$I$59,4,FALSE),IF(C145='4. Beheertypen complexiteit'!$E$6,VLOOKUP('2. Kostprijs per beheertype'!A145,'4. Beheertypen complexiteit'!$A$8:$I$59,5,FALSE),IF(C145='4. Beheertypen complexiteit'!$F$6,VLOOKUP('2. Kostprijs per beheertype'!A145,'4. Beheertypen complexiteit'!$A$8:$I$59,6,FALSE),IF(C145='4. Beheertypen complexiteit'!$G$6,VLOOKUP('2. Kostprijs per beheertype'!A145,'4. Beheertypen complexiteit'!$A$8:$I$59,7,FALSE),IF(C145='4. Beheertypen complexiteit'!$H$6,VLOOKUP('2. Kostprijs per beheertype'!A145,'4. Beheertypen complexiteit'!$A$8:$I$59,8,FALSE),IF(C145='4. Beheertypen complexiteit'!$I$6,VLOOKUP('2. Kostprijs per beheertype'!A145,'4. Beheertypen complexiteit'!$A$8:$I$59,9,FALSE),"Nvt")))))))</f>
        <v>2</v>
      </c>
      <c r="E145" s="367">
        <f>IF(C145='1. Samenvatting'!$H$9,VLOOKUP('2. Kostprijs per beheertype'!D145,'1. Samenvatting'!$G$9:$N$15,2,FALSE),IF(C145='1. Samenvatting'!$I$9,VLOOKUP('2. Kostprijs per beheertype'!D145,'1. Samenvatting'!$G$9:$N$15,3),IF(C145='1. Samenvatting'!$J$9,VLOOKUP('2. Kostprijs per beheertype'!D145,'1. Samenvatting'!$G$9:$N$15,4),IF(C145='1. Samenvatting'!$K$9,VLOOKUP('2. Kostprijs per beheertype'!D145,'1. Samenvatting'!$G$9:$N$15,5),IF(C145='1. Samenvatting'!$L$9,VLOOKUP('2. Kostprijs per beheertype'!D145,'1. Samenvatting'!$G$9:$N$15,6),IF(C145='1. Samenvatting'!$M$9,VLOOKUP('2. Kostprijs per beheertype'!D145,'1. Samenvatting'!$G$9:$N$15,7),IF(C145='1. Samenvatting'!$N$9,VLOOKUP('2. Kostprijs per beheertype'!D145,'1. Samenvatting'!$G$9:$N$15,8),"Nvt")))))))</f>
        <v>55.738852766567376</v>
      </c>
      <c r="F145" s="367">
        <f>IF(C145='1. Samenvatting'!$H$9,VLOOKUP('2. Kostprijs per beheertype'!D145,'1. Samenvatting'!$G$16:$N$20,2,FALSE),IF(C145='1. Samenvatting'!$I$9,VLOOKUP('2. Kostprijs per beheertype'!D145,'1. Samenvatting'!$G$16:$N$20,3,FALSE),IF(C145='1. Samenvatting'!$J$9,VLOOKUP('2. Kostprijs per beheertype'!D145,'1. Samenvatting'!$G$16:$N$20,4,FALSE),IF(C145='1. Samenvatting'!$K$9,VLOOKUP('2. Kostprijs per beheertype'!D145,'1. Samenvatting'!$G$16:$N$20,5,FALSE),IF(C145='1. Samenvatting'!$L$9,VLOOKUP('2. Kostprijs per beheertype'!D145,'1. Samenvatting'!$G$16:$N$20,6,FALSE),IF(C145='1. Samenvatting'!$M$9,VLOOKUP('2. Kostprijs per beheertype'!D145,'1. Samenvatting'!$G$16:$N$20,7,FALSE),IF(C145='1. Samenvatting'!$N$9,VLOOKUP('2. Kostprijs per beheertype'!D145,'1. Samenvatting'!$G$16:$N$20,8,FALSE),"Nvt")))))))</f>
        <v>66.622547266567381</v>
      </c>
      <c r="G145" s="368">
        <v>6</v>
      </c>
      <c r="H145" s="367">
        <f t="shared" si="4"/>
        <v>9.2898087944278966</v>
      </c>
      <c r="I145" s="367">
        <f t="shared" si="5"/>
        <v>11.103757877761231</v>
      </c>
      <c r="J145" s="367">
        <f>'3. Parameters kostprijsmodel'!$F$36</f>
        <v>3.0089563425755728</v>
      </c>
      <c r="K145" s="361">
        <f>SUM(H145:H146)+J145</f>
        <v>18.055842483467373</v>
      </c>
      <c r="L145" s="362">
        <f>SUM(I145:I146)+J145</f>
        <v>20.0401280091084</v>
      </c>
    </row>
    <row r="146" spans="1:12" s="300" customFormat="1" ht="9" x14ac:dyDescent="0.15">
      <c r="A146" s="401" t="s">
        <v>116</v>
      </c>
      <c r="B146" s="401" t="s">
        <v>117</v>
      </c>
      <c r="C146" s="425" t="s">
        <v>21</v>
      </c>
      <c r="D146" s="380">
        <f>IF(C146='4. Beheertypen complexiteit'!$C$6,VLOOKUP('2. Kostprijs per beheertype'!A146,'4. Beheertypen complexiteit'!$A$8:$I$59,3,FALSE),IF(C146='4. Beheertypen complexiteit'!$D$6,VLOOKUP('2. Kostprijs per beheertype'!A146,'4. Beheertypen complexiteit'!$A$8:$I$59,4,FALSE),IF(C146='4. Beheertypen complexiteit'!$E$6,VLOOKUP('2. Kostprijs per beheertype'!A146,'4. Beheertypen complexiteit'!$A$8:$I$59,5,FALSE),IF(C146='4. Beheertypen complexiteit'!$F$6,VLOOKUP('2. Kostprijs per beheertype'!A146,'4. Beheertypen complexiteit'!$A$8:$I$59,6,FALSE),IF(C146='4. Beheertypen complexiteit'!$G$6,VLOOKUP('2. Kostprijs per beheertype'!A146,'4. Beheertypen complexiteit'!$A$8:$I$59,7,FALSE),IF(C146='4. Beheertypen complexiteit'!$H$6,VLOOKUP('2. Kostprijs per beheertype'!A146,'4. Beheertypen complexiteit'!$A$8:$I$59,8,FALSE),IF(C146='4. Beheertypen complexiteit'!$I$6,VLOOKUP('2. Kostprijs per beheertype'!A146,'4. Beheertypen complexiteit'!$A$8:$I$59,9,FALSE),"Nvt")))))))</f>
        <v>2</v>
      </c>
      <c r="E146" s="381">
        <f>IF(C146='1. Samenvatting'!$H$9,VLOOKUP('2. Kostprijs per beheertype'!D146,'1. Samenvatting'!$G$9:$N$15,2,FALSE),IF(C146='1. Samenvatting'!$I$9,VLOOKUP('2. Kostprijs per beheertype'!D146,'1. Samenvatting'!$G$9:$N$15,3),IF(C146='1. Samenvatting'!$J$9,VLOOKUP('2. Kostprijs per beheertype'!D146,'1. Samenvatting'!$G$9:$N$15,4),IF(C146='1. Samenvatting'!$K$9,VLOOKUP('2. Kostprijs per beheertype'!D146,'1. Samenvatting'!$G$9:$N$15,5),IF(C146='1. Samenvatting'!$L$9,VLOOKUP('2. Kostprijs per beheertype'!D146,'1. Samenvatting'!$G$9:$N$15,6),IF(C146='1. Samenvatting'!$M$9,VLOOKUP('2. Kostprijs per beheertype'!D146,'1. Samenvatting'!$G$9:$N$15,7),IF(C146='1. Samenvatting'!$N$9,VLOOKUP('2. Kostprijs per beheertype'!D146,'1. Samenvatting'!$G$9:$N$15,8),"Nvt")))))))</f>
        <v>34.542464078783418</v>
      </c>
      <c r="F146" s="381">
        <f>IF(C146='1. Samenvatting'!$H$9,VLOOKUP('2. Kostprijs per beheertype'!D146,'1. Samenvatting'!$G$16:$N$20,2,FALSE),IF(C146='1. Samenvatting'!$I$9,VLOOKUP('2. Kostprijs per beheertype'!D146,'1. Samenvatting'!$G$16:$N$20,3,FALSE),IF(C146='1. Samenvatting'!$J$9,VLOOKUP('2. Kostprijs per beheertype'!D146,'1. Samenvatting'!$G$16:$N$20,4,FALSE),IF(C146='1. Samenvatting'!$K$9,VLOOKUP('2. Kostprijs per beheertype'!D146,'1. Samenvatting'!$G$16:$N$20,5,FALSE),IF(C146='1. Samenvatting'!$L$9,VLOOKUP('2. Kostprijs per beheertype'!D146,'1. Samenvatting'!$G$16:$N$20,6,FALSE),IF(C146='1. Samenvatting'!$M$9,VLOOKUP('2. Kostprijs per beheertype'!D146,'1. Samenvatting'!$G$16:$N$20,7,FALSE),IF(C146='1. Samenvatting'!$N$9,VLOOKUP('2. Kostprijs per beheertype'!D146,'1. Samenvatting'!$G$16:$N$20,8,FALSE),"Nvt")))))))</f>
        <v>35.564482732629571</v>
      </c>
      <c r="G146" s="382">
        <v>6</v>
      </c>
      <c r="H146" s="381">
        <f t="shared" si="4"/>
        <v>5.7570773464639027</v>
      </c>
      <c r="I146" s="381">
        <f t="shared" si="5"/>
        <v>5.9274137887715952</v>
      </c>
      <c r="J146" s="381"/>
      <c r="K146" s="396"/>
      <c r="L146" s="397"/>
    </row>
    <row r="147" spans="1:12" s="300" customFormat="1" ht="9" x14ac:dyDescent="0.15">
      <c r="A147" s="334" t="s">
        <v>118</v>
      </c>
      <c r="B147" s="334" t="s">
        <v>119</v>
      </c>
      <c r="C147" s="371" t="s">
        <v>21</v>
      </c>
      <c r="D147" s="372">
        <f>IF(C147='4. Beheertypen complexiteit'!$C$6,VLOOKUP('2. Kostprijs per beheertype'!A147,'4. Beheertypen complexiteit'!$A$8:$I$59,3,FALSE),IF(C147='4. Beheertypen complexiteit'!$D$6,VLOOKUP('2. Kostprijs per beheertype'!A147,'4. Beheertypen complexiteit'!$A$8:$I$59,4,FALSE),IF(C147='4. Beheertypen complexiteit'!$E$6,VLOOKUP('2. Kostprijs per beheertype'!A147,'4. Beheertypen complexiteit'!$A$8:$I$59,5,FALSE),IF(C147='4. Beheertypen complexiteit'!$F$6,VLOOKUP('2. Kostprijs per beheertype'!A147,'4. Beheertypen complexiteit'!$A$8:$I$59,6,FALSE),IF(C147='4. Beheertypen complexiteit'!$G$6,VLOOKUP('2. Kostprijs per beheertype'!A147,'4. Beheertypen complexiteit'!$A$8:$I$59,7,FALSE),IF(C147='4. Beheertypen complexiteit'!$H$6,VLOOKUP('2. Kostprijs per beheertype'!A147,'4. Beheertypen complexiteit'!$A$8:$I$59,8,FALSE),IF(C147='4. Beheertypen complexiteit'!$I$6,VLOOKUP('2. Kostprijs per beheertype'!A147,'4. Beheertypen complexiteit'!$A$8:$I$59,9,FALSE),"Nvt")))))))</f>
        <v>1</v>
      </c>
      <c r="E147" s="373">
        <f>IF(C147='1. Samenvatting'!$H$9,VLOOKUP('2. Kostprijs per beheertype'!D147,'1. Samenvatting'!$G$9:$N$15,2,FALSE),IF(C147='1. Samenvatting'!$I$9,VLOOKUP('2. Kostprijs per beheertype'!D147,'1. Samenvatting'!$G$9:$N$15,3),IF(C147='1. Samenvatting'!$J$9,VLOOKUP('2. Kostprijs per beheertype'!D147,'1. Samenvatting'!$G$9:$N$15,4),IF(C147='1. Samenvatting'!$K$9,VLOOKUP('2. Kostprijs per beheertype'!D147,'1. Samenvatting'!$G$9:$N$15,5),IF(C147='1. Samenvatting'!$L$9,VLOOKUP('2. Kostprijs per beheertype'!D147,'1. Samenvatting'!$G$9:$N$15,6),IF(C147='1. Samenvatting'!$M$9,VLOOKUP('2. Kostprijs per beheertype'!D147,'1. Samenvatting'!$G$9:$N$15,7),IF(C147='1. Samenvatting'!$N$9,VLOOKUP('2. Kostprijs per beheertype'!D147,'1. Samenvatting'!$G$9:$N$15,8),"Nvt")))))))</f>
        <v>50.928209617678966</v>
      </c>
      <c r="F147" s="373">
        <f>IF(C147='1. Samenvatting'!$H$9,VLOOKUP('2. Kostprijs per beheertype'!D147,'1. Samenvatting'!$G$16:$N$20,2,FALSE),IF(C147='1. Samenvatting'!$I$9,VLOOKUP('2. Kostprijs per beheertype'!D147,'1. Samenvatting'!$G$16:$N$20,3,FALSE),IF(C147='1. Samenvatting'!$J$9,VLOOKUP('2. Kostprijs per beheertype'!D147,'1. Samenvatting'!$G$16:$N$20,4,FALSE),IF(C147='1. Samenvatting'!$K$9,VLOOKUP('2. Kostprijs per beheertype'!D147,'1. Samenvatting'!$G$16:$N$20,5,FALSE),IF(C147='1. Samenvatting'!$L$9,VLOOKUP('2. Kostprijs per beheertype'!D147,'1. Samenvatting'!$G$16:$N$20,6,FALSE),IF(C147='1. Samenvatting'!$M$9,VLOOKUP('2. Kostprijs per beheertype'!D147,'1. Samenvatting'!$G$16:$N$20,7,FALSE),IF(C147='1. Samenvatting'!$N$9,VLOOKUP('2. Kostprijs per beheertype'!D147,'1. Samenvatting'!$G$16:$N$20,8,FALSE),"Nvt")))))))</f>
        <v>52.877897479669919</v>
      </c>
      <c r="G147" s="382">
        <v>6</v>
      </c>
      <c r="H147" s="381">
        <f t="shared" si="4"/>
        <v>8.4880349362798277</v>
      </c>
      <c r="I147" s="381">
        <f t="shared" si="5"/>
        <v>8.8129829132783204</v>
      </c>
      <c r="J147" s="381">
        <f>'3. Parameters kostprijsmodel'!$F$36</f>
        <v>3.0089563425755728</v>
      </c>
      <c r="K147" s="427">
        <f>SUM(H147)+J147</f>
        <v>11.496991278855401</v>
      </c>
      <c r="L147" s="362">
        <f>SUM(I147)+J147</f>
        <v>11.821939255853893</v>
      </c>
    </row>
    <row r="148" spans="1:12" s="300" customFormat="1" ht="9" x14ac:dyDescent="0.15">
      <c r="A148" s="426" t="s">
        <v>120</v>
      </c>
      <c r="B148" s="426" t="s">
        <v>121</v>
      </c>
      <c r="C148" s="357" t="s">
        <v>21</v>
      </c>
      <c r="D148" s="358">
        <f>IF(C148='4. Beheertypen complexiteit'!$C$6,VLOOKUP('2. Kostprijs per beheertype'!A148,'4. Beheertypen complexiteit'!$A$8:$I$59,3,FALSE),IF(C148='4. Beheertypen complexiteit'!$D$6,VLOOKUP('2. Kostprijs per beheertype'!A148,'4. Beheertypen complexiteit'!$A$8:$I$59,4,FALSE),IF(C148='4. Beheertypen complexiteit'!$E$6,VLOOKUP('2. Kostprijs per beheertype'!A148,'4. Beheertypen complexiteit'!$A$8:$I$59,5,FALSE),IF(C148='4. Beheertypen complexiteit'!$F$6,VLOOKUP('2. Kostprijs per beheertype'!A148,'4. Beheertypen complexiteit'!$A$8:$I$59,6,FALSE),IF(C148='4. Beheertypen complexiteit'!$G$6,VLOOKUP('2. Kostprijs per beheertype'!A148,'4. Beheertypen complexiteit'!$A$8:$I$59,7,FALSE),IF(C148='4. Beheertypen complexiteit'!$H$6,VLOOKUP('2. Kostprijs per beheertype'!A148,'4. Beheertypen complexiteit'!$A$8:$I$59,8,FALSE),IF(C148='4. Beheertypen complexiteit'!$I$6,VLOOKUP('2. Kostprijs per beheertype'!A148,'4. Beheertypen complexiteit'!$A$8:$I$59,9,FALSE),"Nvt")))))))</f>
        <v>1</v>
      </c>
      <c r="E148" s="359">
        <f>IF(C148='1. Samenvatting'!$H$9,VLOOKUP('2. Kostprijs per beheertype'!D148,'1. Samenvatting'!$G$9:$N$15,2,FALSE),IF(C148='1. Samenvatting'!$I$9,VLOOKUP('2. Kostprijs per beheertype'!D148,'1. Samenvatting'!$G$9:$N$15,3),IF(C148='1. Samenvatting'!$J$9,VLOOKUP('2. Kostprijs per beheertype'!D148,'1. Samenvatting'!$G$9:$N$15,4),IF(C148='1. Samenvatting'!$K$9,VLOOKUP('2. Kostprijs per beheertype'!D148,'1. Samenvatting'!$G$9:$N$15,5),IF(C148='1. Samenvatting'!$L$9,VLOOKUP('2. Kostprijs per beheertype'!D148,'1. Samenvatting'!$G$9:$N$15,6),IF(C148='1. Samenvatting'!$M$9,VLOOKUP('2. Kostprijs per beheertype'!D148,'1. Samenvatting'!$G$9:$N$15,7),IF(C148='1. Samenvatting'!$N$9,VLOOKUP('2. Kostprijs per beheertype'!D148,'1. Samenvatting'!$G$9:$N$15,8),"Nvt")))))))</f>
        <v>50.928209617678966</v>
      </c>
      <c r="F148" s="359">
        <f>IF(C148='1. Samenvatting'!$H$9,VLOOKUP('2. Kostprijs per beheertype'!D148,'1. Samenvatting'!$G$16:$N$20,2,FALSE),IF(C148='1. Samenvatting'!$I$9,VLOOKUP('2. Kostprijs per beheertype'!D148,'1. Samenvatting'!$G$16:$N$20,3,FALSE),IF(C148='1. Samenvatting'!$J$9,VLOOKUP('2. Kostprijs per beheertype'!D148,'1. Samenvatting'!$G$16:$N$20,4,FALSE),IF(C148='1. Samenvatting'!$K$9,VLOOKUP('2. Kostprijs per beheertype'!D148,'1. Samenvatting'!$G$16:$N$20,5,FALSE),IF(C148='1. Samenvatting'!$L$9,VLOOKUP('2. Kostprijs per beheertype'!D148,'1. Samenvatting'!$G$16:$N$20,6,FALSE),IF(C148='1. Samenvatting'!$M$9,VLOOKUP('2. Kostprijs per beheertype'!D148,'1. Samenvatting'!$G$16:$N$20,7,FALSE),IF(C148='1. Samenvatting'!$N$9,VLOOKUP('2. Kostprijs per beheertype'!D148,'1. Samenvatting'!$G$16:$N$20,8,FALSE),"Nvt")))))))</f>
        <v>52.877897479669919</v>
      </c>
      <c r="G148" s="382">
        <v>3</v>
      </c>
      <c r="H148" s="381">
        <f t="shared" si="4"/>
        <v>16.976069872559655</v>
      </c>
      <c r="I148" s="381">
        <f t="shared" si="5"/>
        <v>17.625965826556641</v>
      </c>
      <c r="J148" s="381">
        <f>'3. Parameters kostprijsmodel'!$F$36</f>
        <v>3.0089563425755728</v>
      </c>
      <c r="K148" s="590">
        <f>H148+J148</f>
        <v>19.985026215135228</v>
      </c>
      <c r="L148" s="428">
        <f>I148+K148</f>
        <v>37.610992041691873</v>
      </c>
    </row>
    <row r="149" spans="1:12" s="300" customFormat="1" ht="9" x14ac:dyDescent="0.15">
      <c r="A149" s="334" t="s">
        <v>122</v>
      </c>
      <c r="B149" s="334" t="s">
        <v>123</v>
      </c>
      <c r="C149" s="371" t="s">
        <v>19</v>
      </c>
      <c r="D149" s="372">
        <f>IF(C149='4. Beheertypen complexiteit'!$C$6,VLOOKUP('2. Kostprijs per beheertype'!A149,'4. Beheertypen complexiteit'!$A$8:$I$59,3,FALSE),IF(C149='4. Beheertypen complexiteit'!$D$6,VLOOKUP('2. Kostprijs per beheertype'!A149,'4. Beheertypen complexiteit'!$A$8:$I$59,4,FALSE),IF(C149='4. Beheertypen complexiteit'!$E$6,VLOOKUP('2. Kostprijs per beheertype'!A149,'4. Beheertypen complexiteit'!$A$8:$I$59,5,FALSE),IF(C149='4. Beheertypen complexiteit'!$F$6,VLOOKUP('2. Kostprijs per beheertype'!A149,'4. Beheertypen complexiteit'!$A$8:$I$59,6,FALSE),IF(C149='4. Beheertypen complexiteit'!$G$6,VLOOKUP('2. Kostprijs per beheertype'!A149,'4. Beheertypen complexiteit'!$A$8:$I$59,7,FALSE),IF(C149='4. Beheertypen complexiteit'!$H$6,VLOOKUP('2. Kostprijs per beheertype'!A149,'4. Beheertypen complexiteit'!$A$8:$I$59,8,FALSE),IF(C149='4. Beheertypen complexiteit'!$I$6,VLOOKUP('2. Kostprijs per beheertype'!A149,'4. Beheertypen complexiteit'!$A$8:$I$59,9,FALSE),"Nvt")))))))</f>
        <v>1</v>
      </c>
      <c r="E149" s="373">
        <f>IF(C149='1. Samenvatting'!$H$9,VLOOKUP('2. Kostprijs per beheertype'!D149,'1. Samenvatting'!$G$9:$N$15,2,FALSE),IF(C149='1. Samenvatting'!$I$9,VLOOKUP('2. Kostprijs per beheertype'!D149,'1. Samenvatting'!$G$9:$N$15,3),IF(C149='1. Samenvatting'!$J$9,VLOOKUP('2. Kostprijs per beheertype'!D149,'1. Samenvatting'!$G$9:$N$15,4),IF(C149='1. Samenvatting'!$K$9,VLOOKUP('2. Kostprijs per beheertype'!D149,'1. Samenvatting'!$G$9:$N$15,5),IF(C149='1. Samenvatting'!$L$9,VLOOKUP('2. Kostprijs per beheertype'!D149,'1. Samenvatting'!$G$9:$N$15,6),IF(C149='1. Samenvatting'!$M$9,VLOOKUP('2. Kostprijs per beheertype'!D149,'1. Samenvatting'!$G$9:$N$15,7),IF(C149='1. Samenvatting'!$N$9,VLOOKUP('2. Kostprijs per beheertype'!D149,'1. Samenvatting'!$G$9:$N$15,8),"Nvt")))))))</f>
        <v>92.159399805164711</v>
      </c>
      <c r="F149" s="373">
        <f>IF(C149='1. Samenvatting'!$H$9,VLOOKUP('2. Kostprijs per beheertype'!D149,'1. Samenvatting'!$G$16:$N$20,2,FALSE),IF(C149='1. Samenvatting'!$I$9,VLOOKUP('2. Kostprijs per beheertype'!D149,'1. Samenvatting'!$G$16:$N$20,3,FALSE),IF(C149='1. Samenvatting'!$J$9,VLOOKUP('2. Kostprijs per beheertype'!D149,'1. Samenvatting'!$G$16:$N$20,4,FALSE),IF(C149='1. Samenvatting'!$K$9,VLOOKUP('2. Kostprijs per beheertype'!D149,'1. Samenvatting'!$G$16:$N$20,5,FALSE),IF(C149='1. Samenvatting'!$L$9,VLOOKUP('2. Kostprijs per beheertype'!D149,'1. Samenvatting'!$G$16:$N$20,6,FALSE),IF(C149='1. Samenvatting'!$M$9,VLOOKUP('2. Kostprijs per beheertype'!D149,'1. Samenvatting'!$G$16:$N$20,7,FALSE),IF(C149='1. Samenvatting'!$N$9,VLOOKUP('2. Kostprijs per beheertype'!D149,'1. Samenvatting'!$G$16:$N$20,8,FALSE),"Nvt")))))))</f>
        <v>112.82583216627582</v>
      </c>
      <c r="G149" s="374">
        <v>6</v>
      </c>
      <c r="H149" s="373">
        <f t="shared" si="4"/>
        <v>15.359899967527452</v>
      </c>
      <c r="I149" s="373">
        <f t="shared" si="5"/>
        <v>18.804305361045969</v>
      </c>
      <c r="J149" s="373">
        <f>'3. Parameters kostprijsmodel'!$F$36</f>
        <v>3.0089563425755728</v>
      </c>
      <c r="K149" s="591">
        <f>SUM(H149:H152)+J149</f>
        <v>50.103756007478339</v>
      </c>
      <c r="L149" s="592">
        <f>SUM(I149:I152)+J149</f>
        <v>53.873109377995348</v>
      </c>
    </row>
    <row r="150" spans="1:12" s="300" customFormat="1" ht="9" x14ac:dyDescent="0.15">
      <c r="A150" s="400" t="s">
        <v>122</v>
      </c>
      <c r="B150" s="400" t="s">
        <v>123</v>
      </c>
      <c r="C150" s="371" t="s">
        <v>21</v>
      </c>
      <c r="D150" s="372">
        <f>IF(C150='4. Beheertypen complexiteit'!$C$6,VLOOKUP('2. Kostprijs per beheertype'!A150,'4. Beheertypen complexiteit'!$A$8:$I$59,3,FALSE),IF(C150='4. Beheertypen complexiteit'!$D$6,VLOOKUP('2. Kostprijs per beheertype'!A150,'4. Beheertypen complexiteit'!$A$8:$I$59,4,FALSE),IF(C150='4. Beheertypen complexiteit'!$E$6,VLOOKUP('2. Kostprijs per beheertype'!A150,'4. Beheertypen complexiteit'!$A$8:$I$59,5,FALSE),IF(C150='4. Beheertypen complexiteit'!$F$6,VLOOKUP('2. Kostprijs per beheertype'!A150,'4. Beheertypen complexiteit'!$A$8:$I$59,6,FALSE),IF(C150='4. Beheertypen complexiteit'!$G$6,VLOOKUP('2. Kostprijs per beheertype'!A150,'4. Beheertypen complexiteit'!$A$8:$I$59,7,FALSE),IF(C150='4. Beheertypen complexiteit'!$H$6,VLOOKUP('2. Kostprijs per beheertype'!A150,'4. Beheertypen complexiteit'!$A$8:$I$59,8,FALSE),IF(C150='4. Beheertypen complexiteit'!$I$6,VLOOKUP('2. Kostprijs per beheertype'!A150,'4. Beheertypen complexiteit'!$A$8:$I$59,9,FALSE),"Nvt")))))))</f>
        <v>1</v>
      </c>
      <c r="E150" s="373">
        <f>IF(C150='1. Samenvatting'!$H$9,VLOOKUP('2. Kostprijs per beheertype'!D150,'1. Samenvatting'!$G$9:$N$15,2,FALSE),IF(C150='1. Samenvatting'!$I$9,VLOOKUP('2. Kostprijs per beheertype'!D150,'1. Samenvatting'!$G$9:$N$15,3),IF(C150='1. Samenvatting'!$J$9,VLOOKUP('2. Kostprijs per beheertype'!D150,'1. Samenvatting'!$G$9:$N$15,4),IF(C150='1. Samenvatting'!$K$9,VLOOKUP('2. Kostprijs per beheertype'!D150,'1. Samenvatting'!$G$9:$N$15,5),IF(C150='1. Samenvatting'!$L$9,VLOOKUP('2. Kostprijs per beheertype'!D150,'1. Samenvatting'!$G$9:$N$15,6),IF(C150='1. Samenvatting'!$M$9,VLOOKUP('2. Kostprijs per beheertype'!D150,'1. Samenvatting'!$G$9:$N$15,7),IF(C150='1. Samenvatting'!$N$9,VLOOKUP('2. Kostprijs per beheertype'!D150,'1. Samenvatting'!$G$9:$N$15,8),"Nvt")))))))</f>
        <v>50.928209617678966</v>
      </c>
      <c r="F150" s="373">
        <f>IF(C150='1. Samenvatting'!$H$9,VLOOKUP('2. Kostprijs per beheertype'!D150,'1. Samenvatting'!$G$16:$N$20,2,FALSE),IF(C150='1. Samenvatting'!$I$9,VLOOKUP('2. Kostprijs per beheertype'!D150,'1. Samenvatting'!$G$16:$N$20,3,FALSE),IF(C150='1. Samenvatting'!$J$9,VLOOKUP('2. Kostprijs per beheertype'!D150,'1. Samenvatting'!$G$16:$N$20,4,FALSE),IF(C150='1. Samenvatting'!$K$9,VLOOKUP('2. Kostprijs per beheertype'!D150,'1. Samenvatting'!$G$16:$N$20,5,FALSE),IF(C150='1. Samenvatting'!$L$9,VLOOKUP('2. Kostprijs per beheertype'!D150,'1. Samenvatting'!$G$16:$N$20,6,FALSE),IF(C150='1. Samenvatting'!$M$9,VLOOKUP('2. Kostprijs per beheertype'!D150,'1. Samenvatting'!$G$16:$N$20,7,FALSE),IF(C150='1. Samenvatting'!$N$9,VLOOKUP('2. Kostprijs per beheertype'!D150,'1. Samenvatting'!$G$16:$N$20,8,FALSE),"Nvt")))))))</f>
        <v>52.877897479669919</v>
      </c>
      <c r="G150" s="374">
        <v>6</v>
      </c>
      <c r="H150" s="373">
        <f t="shared" si="4"/>
        <v>8.4880349362798277</v>
      </c>
      <c r="I150" s="373">
        <f t="shared" si="5"/>
        <v>8.8129829132783204</v>
      </c>
      <c r="J150" s="373"/>
      <c r="K150" s="393"/>
      <c r="L150" s="394"/>
    </row>
    <row r="151" spans="1:12" s="300" customFormat="1" ht="9" x14ac:dyDescent="0.15">
      <c r="A151" s="400" t="s">
        <v>122</v>
      </c>
      <c r="B151" s="400" t="s">
        <v>123</v>
      </c>
      <c r="C151" s="371" t="s">
        <v>27</v>
      </c>
      <c r="D151" s="372">
        <f>IF(C151='4. Beheertypen complexiteit'!$C$6,VLOOKUP('2. Kostprijs per beheertype'!A151,'4. Beheertypen complexiteit'!$A$8:$I$59,3,FALSE),IF(C151='4. Beheertypen complexiteit'!$D$6,VLOOKUP('2. Kostprijs per beheertype'!A151,'4. Beheertypen complexiteit'!$A$8:$I$59,4,FALSE),IF(C151='4. Beheertypen complexiteit'!$E$6,VLOOKUP('2. Kostprijs per beheertype'!A151,'4. Beheertypen complexiteit'!$A$8:$I$59,5,FALSE),IF(C151='4. Beheertypen complexiteit'!$F$6,VLOOKUP('2. Kostprijs per beheertype'!A151,'4. Beheertypen complexiteit'!$A$8:$I$59,6,FALSE),IF(C151='4. Beheertypen complexiteit'!$G$6,VLOOKUP('2. Kostprijs per beheertype'!A151,'4. Beheertypen complexiteit'!$A$8:$I$59,7,FALSE),IF(C151='4. Beheertypen complexiteit'!$H$6,VLOOKUP('2. Kostprijs per beheertype'!A151,'4. Beheertypen complexiteit'!$A$8:$I$59,8,FALSE),IF(C151='4. Beheertypen complexiteit'!$I$6,VLOOKUP('2. Kostprijs per beheertype'!A151,'4. Beheertypen complexiteit'!$A$8:$I$59,9,FALSE),"Nvt")))))))</f>
        <v>1</v>
      </c>
      <c r="E151" s="373">
        <f>IF(C151='1. Samenvatting'!$H$9,VLOOKUP('2. Kostprijs per beheertype'!D151,'1. Samenvatting'!$G$9:$N$15,2,FALSE),IF(C151='1. Samenvatting'!$I$9,VLOOKUP('2. Kostprijs per beheertype'!D151,'1. Samenvatting'!$G$9:$N$15,3),IF(C151='1. Samenvatting'!$J$9,VLOOKUP('2. Kostprijs per beheertype'!D151,'1. Samenvatting'!$G$9:$N$15,4),IF(C151='1. Samenvatting'!$K$9,VLOOKUP('2. Kostprijs per beheertype'!D151,'1. Samenvatting'!$G$9:$N$15,5),IF(C151='1. Samenvatting'!$L$9,VLOOKUP('2. Kostprijs per beheertype'!D151,'1. Samenvatting'!$G$9:$N$15,6),IF(C151='1. Samenvatting'!$M$9,VLOOKUP('2. Kostprijs per beheertype'!D151,'1. Samenvatting'!$G$9:$N$15,7),IF(C151='1. Samenvatting'!$N$9,VLOOKUP('2. Kostprijs per beheertype'!D151,'1. Samenvatting'!$G$9:$N$15,8),"Nvt")))))))</f>
        <v>31.686912341624982</v>
      </c>
      <c r="F151" s="373">
        <f>IF(C151='1. Samenvatting'!$H$9,VLOOKUP('2. Kostprijs per beheertype'!D151,'1. Samenvatting'!$G$16:$N$20,2,FALSE),IF(C151='1. Samenvatting'!$I$9,VLOOKUP('2. Kostprijs per beheertype'!D151,'1. Samenvatting'!$G$16:$N$20,3,FALSE),IF(C151='1. Samenvatting'!$J$9,VLOOKUP('2. Kostprijs per beheertype'!D151,'1. Samenvatting'!$G$16:$N$20,4,FALSE),IF(C151='1. Samenvatting'!$K$9,VLOOKUP('2. Kostprijs per beheertype'!D151,'1. Samenvatting'!$G$16:$N$20,5,FALSE),IF(C151='1. Samenvatting'!$L$9,VLOOKUP('2. Kostprijs per beheertype'!D151,'1. Samenvatting'!$G$16:$N$20,6,FALSE),IF(C151='1. Samenvatting'!$M$9,VLOOKUP('2. Kostprijs per beheertype'!D151,'1. Samenvatting'!$G$16:$N$20,7,FALSE),IF(C151='1. Samenvatting'!$N$9,VLOOKUP('2. Kostprijs per beheertype'!D151,'1. Samenvatting'!$G$16:$N$20,8,FALSE),"Nvt")))))))</f>
        <v>31.686912341624982</v>
      </c>
      <c r="G151" s="374">
        <v>12</v>
      </c>
      <c r="H151" s="373">
        <f t="shared" si="4"/>
        <v>2.6405760284687485</v>
      </c>
      <c r="I151" s="373">
        <f t="shared" si="5"/>
        <v>2.6405760284687485</v>
      </c>
      <c r="J151" s="373"/>
      <c r="K151" s="393"/>
      <c r="L151" s="394"/>
    </row>
    <row r="152" spans="1:12" s="300" customFormat="1" ht="9" x14ac:dyDescent="0.15">
      <c r="A152" s="400" t="s">
        <v>122</v>
      </c>
      <c r="B152" s="400" t="s">
        <v>123</v>
      </c>
      <c r="C152" s="429" t="s">
        <v>16</v>
      </c>
      <c r="D152" s="372">
        <f>IF(C152='4. Beheertypen complexiteit'!$C$6,VLOOKUP('2. Kostprijs per beheertype'!A152,'4. Beheertypen complexiteit'!$A$8:$I$59,3,FALSE),IF(C152='4. Beheertypen complexiteit'!$D$6,VLOOKUP('2. Kostprijs per beheertype'!A152,'4. Beheertypen complexiteit'!$A$8:$I$59,4,FALSE),IF(C152='4. Beheertypen complexiteit'!$E$6,VLOOKUP('2. Kostprijs per beheertype'!A152,'4. Beheertypen complexiteit'!$A$8:$I$59,5,FALSE),IF(C152='4. Beheertypen complexiteit'!$F$6,VLOOKUP('2. Kostprijs per beheertype'!A152,'4. Beheertypen complexiteit'!$A$8:$I$59,6,FALSE),IF(C152='4. Beheertypen complexiteit'!$G$6,VLOOKUP('2. Kostprijs per beheertype'!A152,'4. Beheertypen complexiteit'!$A$8:$I$59,7,FALSE),IF(C152='4. Beheertypen complexiteit'!$H$6,VLOOKUP('2. Kostprijs per beheertype'!A152,'4. Beheertypen complexiteit'!$A$8:$I$59,8,FALSE),IF(C152='4. Beheertypen complexiteit'!$I$6,VLOOKUP('2. Kostprijs per beheertype'!A152,'4. Beheertypen complexiteit'!$A$8:$I$59,9,FALSE),"Nvt")))))))</f>
        <v>1</v>
      </c>
      <c r="E152" s="373">
        <f>IF(C152='1. Samenvatting'!$H$9,VLOOKUP('2. Kostprijs per beheertype'!D152,'1. Samenvatting'!$G$9:$N$15,2,FALSE),IF(C152='1. Samenvatting'!$I$9,VLOOKUP('2. Kostprijs per beheertype'!D152,'1. Samenvatting'!$G$9:$N$15,3),IF(C152='1. Samenvatting'!$J$9,VLOOKUP('2. Kostprijs per beheertype'!D152,'1. Samenvatting'!$G$9:$N$15,4),IF(C152='1. Samenvatting'!$K$9,VLOOKUP('2. Kostprijs per beheertype'!D152,'1. Samenvatting'!$G$9:$N$15,5),IF(C152='1. Samenvatting'!$L$9,VLOOKUP('2. Kostprijs per beheertype'!D152,'1. Samenvatting'!$G$9:$N$15,6),IF(C152='1. Samenvatting'!$M$9,VLOOKUP('2. Kostprijs per beheertype'!D152,'1. Samenvatting'!$G$9:$N$15,7),IF(C152='1. Samenvatting'!$N$9,VLOOKUP('2. Kostprijs per beheertype'!D152,'1. Samenvatting'!$G$9:$N$15,8),"Nvt")))))))</f>
        <v>247.27546479152085</v>
      </c>
      <c r="F152" s="373">
        <f>IF(C152='1. Samenvatting'!$H$9,VLOOKUP('2. Kostprijs per beheertype'!D152,'1. Samenvatting'!$G$16:$N$20,2,FALSE),IF(C152='1. Samenvatting'!$I$9,VLOOKUP('2. Kostprijs per beheertype'!D152,'1. Samenvatting'!$G$16:$N$20,3,FALSE),IF(C152='1. Samenvatting'!$J$9,VLOOKUP('2. Kostprijs per beheertype'!D152,'1. Samenvatting'!$G$16:$N$20,4,FALSE),IF(C152='1. Samenvatting'!$K$9,VLOOKUP('2. Kostprijs per beheertype'!D152,'1. Samenvatting'!$G$16:$N$20,5,FALSE),IF(C152='1. Samenvatting'!$L$9,VLOOKUP('2. Kostprijs per beheertype'!D152,'1. Samenvatting'!$G$16:$N$20,6,FALSE),IF(C152='1. Samenvatting'!$M$9,VLOOKUP('2. Kostprijs per beheertype'!D152,'1. Samenvatting'!$G$16:$N$20,7,FALSE),IF(C152='1. Samenvatting'!$N$9,VLOOKUP('2. Kostprijs per beheertype'!D152,'1. Samenvatting'!$G$16:$N$20,8,FALSE),"Nvt")))))))</f>
        <v>247.27546479152085</v>
      </c>
      <c r="G152" s="374">
        <v>12</v>
      </c>
      <c r="H152" s="373">
        <f t="shared" si="4"/>
        <v>20.606288732626737</v>
      </c>
      <c r="I152" s="373">
        <f t="shared" si="5"/>
        <v>20.606288732626737</v>
      </c>
      <c r="J152" s="373"/>
      <c r="K152" s="393"/>
      <c r="L152" s="394"/>
    </row>
    <row r="153" spans="1:12" s="300" customFormat="1" ht="9" x14ac:dyDescent="0.15">
      <c r="A153" s="398" t="s">
        <v>124</v>
      </c>
      <c r="B153" s="398" t="s">
        <v>125</v>
      </c>
      <c r="C153" s="365" t="s">
        <v>19</v>
      </c>
      <c r="D153" s="366">
        <f>IF(C153='4. Beheertypen complexiteit'!$C$6,VLOOKUP('2. Kostprijs per beheertype'!A153,'4. Beheertypen complexiteit'!$A$8:$I$59,3,FALSE),IF(C153='4. Beheertypen complexiteit'!$D$6,VLOOKUP('2. Kostprijs per beheertype'!A153,'4. Beheertypen complexiteit'!$A$8:$I$59,4,FALSE),IF(C153='4. Beheertypen complexiteit'!$E$6,VLOOKUP('2. Kostprijs per beheertype'!A153,'4. Beheertypen complexiteit'!$A$8:$I$59,5,FALSE),IF(C153='4. Beheertypen complexiteit'!$F$6,VLOOKUP('2. Kostprijs per beheertype'!A153,'4. Beheertypen complexiteit'!$A$8:$I$59,6,FALSE),IF(C153='4. Beheertypen complexiteit'!$G$6,VLOOKUP('2. Kostprijs per beheertype'!A153,'4. Beheertypen complexiteit'!$A$8:$I$59,7,FALSE),IF(C153='4. Beheertypen complexiteit'!$H$6,VLOOKUP('2. Kostprijs per beheertype'!A153,'4. Beheertypen complexiteit'!$A$8:$I$59,8,FALSE),IF(C153='4. Beheertypen complexiteit'!$I$6,VLOOKUP('2. Kostprijs per beheertype'!A153,'4. Beheertypen complexiteit'!$A$8:$I$59,9,FALSE),"Nvt")))))))</f>
        <v>2</v>
      </c>
      <c r="E153" s="367">
        <f>IF(C153='1. Samenvatting'!$H$9,VLOOKUP('2. Kostprijs per beheertype'!D153,'1. Samenvatting'!$G$9:$N$15,2,FALSE),IF(C153='1. Samenvatting'!$I$9,VLOOKUP('2. Kostprijs per beheertype'!D153,'1. Samenvatting'!$G$9:$N$15,3),IF(C153='1. Samenvatting'!$J$9,VLOOKUP('2. Kostprijs per beheertype'!D153,'1. Samenvatting'!$G$9:$N$15,4),IF(C153='1. Samenvatting'!$K$9,VLOOKUP('2. Kostprijs per beheertype'!D153,'1. Samenvatting'!$G$9:$N$15,5),IF(C153='1. Samenvatting'!$L$9,VLOOKUP('2. Kostprijs per beheertype'!D153,'1. Samenvatting'!$G$9:$N$15,6),IF(C153='1. Samenvatting'!$M$9,VLOOKUP('2. Kostprijs per beheertype'!D153,'1. Samenvatting'!$G$9:$N$15,7),IF(C153='1. Samenvatting'!$N$9,VLOOKUP('2. Kostprijs per beheertype'!D153,'1. Samenvatting'!$G$9:$N$15,8),"Nvt")))))))</f>
        <v>55.738852766567376</v>
      </c>
      <c r="F153" s="367">
        <f>IF(C153='1. Samenvatting'!$H$9,VLOOKUP('2. Kostprijs per beheertype'!D153,'1. Samenvatting'!$G$16:$N$20,2,FALSE),IF(C153='1. Samenvatting'!$I$9,VLOOKUP('2. Kostprijs per beheertype'!D153,'1. Samenvatting'!$G$16:$N$20,3,FALSE),IF(C153='1. Samenvatting'!$J$9,VLOOKUP('2. Kostprijs per beheertype'!D153,'1. Samenvatting'!$G$16:$N$20,4,FALSE),IF(C153='1. Samenvatting'!$K$9,VLOOKUP('2. Kostprijs per beheertype'!D153,'1. Samenvatting'!$G$16:$N$20,5,FALSE),IF(C153='1. Samenvatting'!$L$9,VLOOKUP('2. Kostprijs per beheertype'!D153,'1. Samenvatting'!$G$16:$N$20,6,FALSE),IF(C153='1. Samenvatting'!$M$9,VLOOKUP('2. Kostprijs per beheertype'!D153,'1. Samenvatting'!$G$16:$N$20,7,FALSE),IF(C153='1. Samenvatting'!$N$9,VLOOKUP('2. Kostprijs per beheertype'!D153,'1. Samenvatting'!$G$16:$N$20,8,FALSE),"Nvt")))))))</f>
        <v>66.622547266567381</v>
      </c>
      <c r="G153" s="368">
        <v>6</v>
      </c>
      <c r="H153" s="367">
        <f t="shared" si="4"/>
        <v>9.2898087944278966</v>
      </c>
      <c r="I153" s="367">
        <f t="shared" si="5"/>
        <v>11.103757877761231</v>
      </c>
      <c r="J153" s="367">
        <f>'3. Parameters kostprijsmodel'!$F$36</f>
        <v>3.0089563425755728</v>
      </c>
      <c r="K153" s="361">
        <f>SUM(H153:H155)+J153</f>
        <v>27.148920621835305</v>
      </c>
      <c r="L153" s="362">
        <f>SUM(I153:I155)+J153</f>
        <v>29.287817682167134</v>
      </c>
    </row>
    <row r="154" spans="1:12" s="300" customFormat="1" ht="9" x14ac:dyDescent="0.15">
      <c r="A154" s="400" t="s">
        <v>124</v>
      </c>
      <c r="B154" s="400" t="s">
        <v>125</v>
      </c>
      <c r="C154" s="371" t="s">
        <v>21</v>
      </c>
      <c r="D154" s="372">
        <f>IF(C154='4. Beheertypen complexiteit'!$C$6,VLOOKUP('2. Kostprijs per beheertype'!A154,'4. Beheertypen complexiteit'!$A$8:$I$59,3,FALSE),IF(C154='4. Beheertypen complexiteit'!$D$6,VLOOKUP('2. Kostprijs per beheertype'!A154,'4. Beheertypen complexiteit'!$A$8:$I$59,4,FALSE),IF(C154='4. Beheertypen complexiteit'!$E$6,VLOOKUP('2. Kostprijs per beheertype'!A154,'4. Beheertypen complexiteit'!$A$8:$I$59,5,FALSE),IF(C154='4. Beheertypen complexiteit'!$F$6,VLOOKUP('2. Kostprijs per beheertype'!A154,'4. Beheertypen complexiteit'!$A$8:$I$59,6,FALSE),IF(C154='4. Beheertypen complexiteit'!$G$6,VLOOKUP('2. Kostprijs per beheertype'!A154,'4. Beheertypen complexiteit'!$A$8:$I$59,7,FALSE),IF(C154='4. Beheertypen complexiteit'!$H$6,VLOOKUP('2. Kostprijs per beheertype'!A154,'4. Beheertypen complexiteit'!$A$8:$I$59,8,FALSE),IF(C154='4. Beheertypen complexiteit'!$I$6,VLOOKUP('2. Kostprijs per beheertype'!A154,'4. Beheertypen complexiteit'!$A$8:$I$59,9,FALSE),"Nvt")))))))</f>
        <v>1</v>
      </c>
      <c r="E154" s="373">
        <f>IF(C154='1. Samenvatting'!$H$9,VLOOKUP('2. Kostprijs per beheertype'!D154,'1. Samenvatting'!$G$9:$N$15,2,FALSE),IF(C154='1. Samenvatting'!$I$9,VLOOKUP('2. Kostprijs per beheertype'!D154,'1. Samenvatting'!$G$9:$N$15,3),IF(C154='1. Samenvatting'!$J$9,VLOOKUP('2. Kostprijs per beheertype'!D154,'1. Samenvatting'!$G$9:$N$15,4),IF(C154='1. Samenvatting'!$K$9,VLOOKUP('2. Kostprijs per beheertype'!D154,'1. Samenvatting'!$G$9:$N$15,5),IF(C154='1. Samenvatting'!$L$9,VLOOKUP('2. Kostprijs per beheertype'!D154,'1. Samenvatting'!$G$9:$N$15,6),IF(C154='1. Samenvatting'!$M$9,VLOOKUP('2. Kostprijs per beheertype'!D154,'1. Samenvatting'!$G$9:$N$15,7),IF(C154='1. Samenvatting'!$N$9,VLOOKUP('2. Kostprijs per beheertype'!D154,'1. Samenvatting'!$G$9:$N$15,8),"Nvt")))))))</f>
        <v>50.928209617678966</v>
      </c>
      <c r="F154" s="373">
        <f>IF(C154='1. Samenvatting'!$H$9,VLOOKUP('2. Kostprijs per beheertype'!D154,'1. Samenvatting'!$G$16:$N$20,2,FALSE),IF(C154='1. Samenvatting'!$I$9,VLOOKUP('2. Kostprijs per beheertype'!D154,'1. Samenvatting'!$G$16:$N$20,3,FALSE),IF(C154='1. Samenvatting'!$J$9,VLOOKUP('2. Kostprijs per beheertype'!D154,'1. Samenvatting'!$G$16:$N$20,4,FALSE),IF(C154='1. Samenvatting'!$K$9,VLOOKUP('2. Kostprijs per beheertype'!D154,'1. Samenvatting'!$G$16:$N$20,5,FALSE),IF(C154='1. Samenvatting'!$L$9,VLOOKUP('2. Kostprijs per beheertype'!D154,'1. Samenvatting'!$G$16:$N$20,6,FALSE),IF(C154='1. Samenvatting'!$M$9,VLOOKUP('2. Kostprijs per beheertype'!D154,'1. Samenvatting'!$G$16:$N$20,7,FALSE),IF(C154='1. Samenvatting'!$N$9,VLOOKUP('2. Kostprijs per beheertype'!D154,'1. Samenvatting'!$G$16:$N$20,8,FALSE),"Nvt")))))))</f>
        <v>52.877897479669919</v>
      </c>
      <c r="G154" s="374">
        <v>6</v>
      </c>
      <c r="H154" s="373">
        <f t="shared" si="4"/>
        <v>8.4880349362798277</v>
      </c>
      <c r="I154" s="373">
        <f t="shared" si="5"/>
        <v>8.8129829132783204</v>
      </c>
      <c r="J154" s="373"/>
      <c r="K154" s="393"/>
      <c r="L154" s="394"/>
    </row>
    <row r="155" spans="1:12" s="300" customFormat="1" ht="9" x14ac:dyDescent="0.15">
      <c r="A155" s="401" t="s">
        <v>124</v>
      </c>
      <c r="B155" s="401" t="s">
        <v>125</v>
      </c>
      <c r="C155" s="379" t="s">
        <v>16</v>
      </c>
      <c r="D155" s="380">
        <f>IF(C155='4. Beheertypen complexiteit'!$C$6,VLOOKUP('2. Kostprijs per beheertype'!A155,'4. Beheertypen complexiteit'!$A$8:$I$59,3,FALSE),IF(C155='4. Beheertypen complexiteit'!$D$6,VLOOKUP('2. Kostprijs per beheertype'!A155,'4. Beheertypen complexiteit'!$A$8:$I$59,4,FALSE),IF(C155='4. Beheertypen complexiteit'!$E$6,VLOOKUP('2. Kostprijs per beheertype'!A155,'4. Beheertypen complexiteit'!$A$8:$I$59,5,FALSE),IF(C155='4. Beheertypen complexiteit'!$F$6,VLOOKUP('2. Kostprijs per beheertype'!A155,'4. Beheertypen complexiteit'!$A$8:$I$59,6,FALSE),IF(C155='4. Beheertypen complexiteit'!$G$6,VLOOKUP('2. Kostprijs per beheertype'!A155,'4. Beheertypen complexiteit'!$A$8:$I$59,7,FALSE),IF(C155='4. Beheertypen complexiteit'!$H$6,VLOOKUP('2. Kostprijs per beheertype'!A155,'4. Beheertypen complexiteit'!$A$8:$I$59,8,FALSE),IF(C155='4. Beheertypen complexiteit'!$I$6,VLOOKUP('2. Kostprijs per beheertype'!A155,'4. Beheertypen complexiteit'!$A$8:$I$59,9,FALSE),"Nvt")))))))</f>
        <v>3</v>
      </c>
      <c r="E155" s="381">
        <f>IF(C155='1. Samenvatting'!$H$9,VLOOKUP('2. Kostprijs per beheertype'!D155,'1. Samenvatting'!$G$9:$N$15,2,FALSE),IF(C155='1. Samenvatting'!$I$9,VLOOKUP('2. Kostprijs per beheertype'!D155,'1. Samenvatting'!$G$9:$N$15,3),IF(C155='1. Samenvatting'!$J$9,VLOOKUP('2. Kostprijs per beheertype'!D155,'1. Samenvatting'!$G$9:$N$15,4),IF(C155='1. Samenvatting'!$K$9,VLOOKUP('2. Kostprijs per beheertype'!D155,'1. Samenvatting'!$G$9:$N$15,5),IF(C155='1. Samenvatting'!$L$9,VLOOKUP('2. Kostprijs per beheertype'!D155,'1. Samenvatting'!$G$9:$N$15,6),IF(C155='1. Samenvatting'!$M$9,VLOOKUP('2. Kostprijs per beheertype'!D155,'1. Samenvatting'!$G$9:$N$15,7),IF(C155='1. Samenvatting'!$N$9,VLOOKUP('2. Kostprijs per beheertype'!D155,'1. Samenvatting'!$G$9:$N$15,8),"Nvt")))))))</f>
        <v>76.345446582624135</v>
      </c>
      <c r="F155" s="381">
        <f>IF(C155='1. Samenvatting'!$H$9,VLOOKUP('2. Kostprijs per beheertype'!D155,'1. Samenvatting'!$G$16:$N$20,2,FALSE),IF(C155='1. Samenvatting'!$I$9,VLOOKUP('2. Kostprijs per beheertype'!D155,'1. Samenvatting'!$G$16:$N$20,3,FALSE),IF(C155='1. Samenvatting'!$J$9,VLOOKUP('2. Kostprijs per beheertype'!D155,'1. Samenvatting'!$G$16:$N$20,4,FALSE),IF(C155='1. Samenvatting'!$K$9,VLOOKUP('2. Kostprijs per beheertype'!D155,'1. Samenvatting'!$G$16:$N$20,5,FALSE),IF(C155='1. Samenvatting'!$L$9,VLOOKUP('2. Kostprijs per beheertype'!D155,'1. Samenvatting'!$G$16:$N$20,6,FALSE),IF(C155='1. Samenvatting'!$M$9,VLOOKUP('2. Kostprijs per beheertype'!D155,'1. Samenvatting'!$G$16:$N$20,7,FALSE),IF(C155='1. Samenvatting'!$N$9,VLOOKUP('2. Kostprijs per beheertype'!D155,'1. Samenvatting'!$G$16:$N$20,8,FALSE),"Nvt")))))))</f>
        <v>76.345446582624135</v>
      </c>
      <c r="G155" s="382">
        <v>12</v>
      </c>
      <c r="H155" s="381">
        <f t="shared" si="4"/>
        <v>6.3621205485520109</v>
      </c>
      <c r="I155" s="381">
        <f t="shared" si="5"/>
        <v>6.3621205485520109</v>
      </c>
      <c r="J155" s="381"/>
      <c r="K155" s="396"/>
      <c r="L155" s="397"/>
    </row>
    <row r="156" spans="1:12" s="300" customFormat="1" ht="9" x14ac:dyDescent="0.15">
      <c r="A156" s="334" t="s">
        <v>126</v>
      </c>
      <c r="B156" s="334" t="s">
        <v>127</v>
      </c>
      <c r="C156" s="371" t="s">
        <v>19</v>
      </c>
      <c r="D156" s="372">
        <f>IF(C156='4. Beheertypen complexiteit'!$C$6,VLOOKUP('2. Kostprijs per beheertype'!A156,'4. Beheertypen complexiteit'!$A$8:$I$59,3,FALSE),IF(C156='4. Beheertypen complexiteit'!$D$6,VLOOKUP('2. Kostprijs per beheertype'!A156,'4. Beheertypen complexiteit'!$A$8:$I$59,4,FALSE),IF(C156='4. Beheertypen complexiteit'!$E$6,VLOOKUP('2. Kostprijs per beheertype'!A156,'4. Beheertypen complexiteit'!$A$8:$I$59,5,FALSE),IF(C156='4. Beheertypen complexiteit'!$F$6,VLOOKUP('2. Kostprijs per beheertype'!A156,'4. Beheertypen complexiteit'!$A$8:$I$59,6,FALSE),IF(C156='4. Beheertypen complexiteit'!$G$6,VLOOKUP('2. Kostprijs per beheertype'!A156,'4. Beheertypen complexiteit'!$A$8:$I$59,7,FALSE),IF(C156='4. Beheertypen complexiteit'!$H$6,VLOOKUP('2. Kostprijs per beheertype'!A156,'4. Beheertypen complexiteit'!$A$8:$I$59,8,FALSE),IF(C156='4. Beheertypen complexiteit'!$I$6,VLOOKUP('2. Kostprijs per beheertype'!A156,'4. Beheertypen complexiteit'!$A$8:$I$59,9,FALSE),"Nvt")))))))</f>
        <v>1</v>
      </c>
      <c r="E156" s="373">
        <f>IF(C156='1. Samenvatting'!$H$9,VLOOKUP('2. Kostprijs per beheertype'!D156,'1. Samenvatting'!$G$9:$N$15,2,FALSE),IF(C156='1. Samenvatting'!$I$9,VLOOKUP('2. Kostprijs per beheertype'!D156,'1. Samenvatting'!$G$9:$N$15,3),IF(C156='1. Samenvatting'!$J$9,VLOOKUP('2. Kostprijs per beheertype'!D156,'1. Samenvatting'!$G$9:$N$15,4),IF(C156='1. Samenvatting'!$K$9,VLOOKUP('2. Kostprijs per beheertype'!D156,'1. Samenvatting'!$G$9:$N$15,5),IF(C156='1. Samenvatting'!$L$9,VLOOKUP('2. Kostprijs per beheertype'!D156,'1. Samenvatting'!$G$9:$N$15,6),IF(C156='1. Samenvatting'!$M$9,VLOOKUP('2. Kostprijs per beheertype'!D156,'1. Samenvatting'!$G$9:$N$15,7),IF(C156='1. Samenvatting'!$N$9,VLOOKUP('2. Kostprijs per beheertype'!D156,'1. Samenvatting'!$G$9:$N$15,8),"Nvt")))))))</f>
        <v>92.159399805164711</v>
      </c>
      <c r="F156" s="373">
        <f>IF(C156='1. Samenvatting'!$H$9,VLOOKUP('2. Kostprijs per beheertype'!D156,'1. Samenvatting'!$G$16:$N$20,2,FALSE),IF(C156='1. Samenvatting'!$I$9,VLOOKUP('2. Kostprijs per beheertype'!D156,'1. Samenvatting'!$G$16:$N$20,3,FALSE),IF(C156='1. Samenvatting'!$J$9,VLOOKUP('2. Kostprijs per beheertype'!D156,'1. Samenvatting'!$G$16:$N$20,4,FALSE),IF(C156='1. Samenvatting'!$K$9,VLOOKUP('2. Kostprijs per beheertype'!D156,'1. Samenvatting'!$G$16:$N$20,5,FALSE),IF(C156='1. Samenvatting'!$L$9,VLOOKUP('2. Kostprijs per beheertype'!D156,'1. Samenvatting'!$G$16:$N$20,6,FALSE),IF(C156='1. Samenvatting'!$M$9,VLOOKUP('2. Kostprijs per beheertype'!D156,'1. Samenvatting'!$G$16:$N$20,7,FALSE),IF(C156='1. Samenvatting'!$N$9,VLOOKUP('2. Kostprijs per beheertype'!D156,'1. Samenvatting'!$G$16:$N$20,8,FALSE),"Nvt")))))))</f>
        <v>112.82583216627582</v>
      </c>
      <c r="G156" s="374">
        <v>6</v>
      </c>
      <c r="H156" s="373">
        <f t="shared" si="4"/>
        <v>15.359899967527452</v>
      </c>
      <c r="I156" s="373">
        <f t="shared" si="5"/>
        <v>18.804305361045969</v>
      </c>
      <c r="J156" s="373">
        <f>'3. Parameters kostprijsmodel'!$F$36</f>
        <v>3.0089563425755728</v>
      </c>
      <c r="K156" s="361">
        <f>SUM(H156:H159)+J156</f>
        <v>39.844800036355721</v>
      </c>
      <c r="L156" s="362">
        <f>SUM(I156:I159)+J156</f>
        <v>43.614153406872731</v>
      </c>
    </row>
    <row r="157" spans="1:12" s="300" customFormat="1" ht="9" x14ac:dyDescent="0.15">
      <c r="A157" s="400" t="s">
        <v>126</v>
      </c>
      <c r="B157" s="400" t="s">
        <v>127</v>
      </c>
      <c r="C157" s="371" t="s">
        <v>21</v>
      </c>
      <c r="D157" s="372">
        <f>IF(C157='4. Beheertypen complexiteit'!$C$6,VLOOKUP('2. Kostprijs per beheertype'!A157,'4. Beheertypen complexiteit'!$A$8:$I$59,3,FALSE),IF(C157='4. Beheertypen complexiteit'!$D$6,VLOOKUP('2. Kostprijs per beheertype'!A157,'4. Beheertypen complexiteit'!$A$8:$I$59,4,FALSE),IF(C157='4. Beheertypen complexiteit'!$E$6,VLOOKUP('2. Kostprijs per beheertype'!A157,'4. Beheertypen complexiteit'!$A$8:$I$59,5,FALSE),IF(C157='4. Beheertypen complexiteit'!$F$6,VLOOKUP('2. Kostprijs per beheertype'!A157,'4. Beheertypen complexiteit'!$A$8:$I$59,6,FALSE),IF(C157='4. Beheertypen complexiteit'!$G$6,VLOOKUP('2. Kostprijs per beheertype'!A157,'4. Beheertypen complexiteit'!$A$8:$I$59,7,FALSE),IF(C157='4. Beheertypen complexiteit'!$H$6,VLOOKUP('2. Kostprijs per beheertype'!A157,'4. Beheertypen complexiteit'!$A$8:$I$59,8,FALSE),IF(C157='4. Beheertypen complexiteit'!$I$6,VLOOKUP('2. Kostprijs per beheertype'!A157,'4. Beheertypen complexiteit'!$A$8:$I$59,9,FALSE),"Nvt")))))))</f>
        <v>1</v>
      </c>
      <c r="E157" s="373">
        <f>IF(C157='1. Samenvatting'!$H$9,VLOOKUP('2. Kostprijs per beheertype'!D157,'1. Samenvatting'!$G$9:$N$15,2,FALSE),IF(C157='1. Samenvatting'!$I$9,VLOOKUP('2. Kostprijs per beheertype'!D157,'1. Samenvatting'!$G$9:$N$15,3),IF(C157='1. Samenvatting'!$J$9,VLOOKUP('2. Kostprijs per beheertype'!D157,'1. Samenvatting'!$G$9:$N$15,4),IF(C157='1. Samenvatting'!$K$9,VLOOKUP('2. Kostprijs per beheertype'!D157,'1. Samenvatting'!$G$9:$N$15,5),IF(C157='1. Samenvatting'!$L$9,VLOOKUP('2. Kostprijs per beheertype'!D157,'1. Samenvatting'!$G$9:$N$15,6),IF(C157='1. Samenvatting'!$M$9,VLOOKUP('2. Kostprijs per beheertype'!D157,'1. Samenvatting'!$G$9:$N$15,7),IF(C157='1. Samenvatting'!$N$9,VLOOKUP('2. Kostprijs per beheertype'!D157,'1. Samenvatting'!$G$9:$N$15,8),"Nvt")))))))</f>
        <v>50.928209617678966</v>
      </c>
      <c r="F157" s="373">
        <f>IF(C157='1. Samenvatting'!$H$9,VLOOKUP('2. Kostprijs per beheertype'!D157,'1. Samenvatting'!$G$16:$N$20,2,FALSE),IF(C157='1. Samenvatting'!$I$9,VLOOKUP('2. Kostprijs per beheertype'!D157,'1. Samenvatting'!$G$16:$N$20,3,FALSE),IF(C157='1. Samenvatting'!$J$9,VLOOKUP('2. Kostprijs per beheertype'!D157,'1. Samenvatting'!$G$16:$N$20,4,FALSE),IF(C157='1. Samenvatting'!$K$9,VLOOKUP('2. Kostprijs per beheertype'!D157,'1. Samenvatting'!$G$16:$N$20,5,FALSE),IF(C157='1. Samenvatting'!$L$9,VLOOKUP('2. Kostprijs per beheertype'!D157,'1. Samenvatting'!$G$16:$N$20,6,FALSE),IF(C157='1. Samenvatting'!$M$9,VLOOKUP('2. Kostprijs per beheertype'!D157,'1. Samenvatting'!$G$16:$N$20,7,FALSE),IF(C157='1. Samenvatting'!$N$9,VLOOKUP('2. Kostprijs per beheertype'!D157,'1. Samenvatting'!$G$16:$N$20,8,FALSE),"Nvt")))))))</f>
        <v>52.877897479669919</v>
      </c>
      <c r="G157" s="374">
        <v>6</v>
      </c>
      <c r="H157" s="373">
        <f t="shared" si="4"/>
        <v>8.4880349362798277</v>
      </c>
      <c r="I157" s="373">
        <f t="shared" si="5"/>
        <v>8.8129829132783204</v>
      </c>
      <c r="J157" s="373"/>
      <c r="K157" s="393"/>
      <c r="L157" s="394"/>
    </row>
    <row r="158" spans="1:12" s="300" customFormat="1" ht="9" x14ac:dyDescent="0.15">
      <c r="A158" s="400" t="s">
        <v>126</v>
      </c>
      <c r="B158" s="400" t="s">
        <v>127</v>
      </c>
      <c r="C158" s="371" t="s">
        <v>27</v>
      </c>
      <c r="D158" s="372">
        <f>IF(C158='4. Beheertypen complexiteit'!$C$6,VLOOKUP('2. Kostprijs per beheertype'!A158,'4. Beheertypen complexiteit'!$A$8:$I$59,3,FALSE),IF(C158='4. Beheertypen complexiteit'!$D$6,VLOOKUP('2. Kostprijs per beheertype'!A158,'4. Beheertypen complexiteit'!$A$8:$I$59,4,FALSE),IF(C158='4. Beheertypen complexiteit'!$E$6,VLOOKUP('2. Kostprijs per beheertype'!A158,'4. Beheertypen complexiteit'!$A$8:$I$59,5,FALSE),IF(C158='4. Beheertypen complexiteit'!$F$6,VLOOKUP('2. Kostprijs per beheertype'!A158,'4. Beheertypen complexiteit'!$A$8:$I$59,6,FALSE),IF(C158='4. Beheertypen complexiteit'!$G$6,VLOOKUP('2. Kostprijs per beheertype'!A158,'4. Beheertypen complexiteit'!$A$8:$I$59,7,FALSE),IF(C158='4. Beheertypen complexiteit'!$H$6,VLOOKUP('2. Kostprijs per beheertype'!A158,'4. Beheertypen complexiteit'!$A$8:$I$59,8,FALSE),IF(C158='4. Beheertypen complexiteit'!$I$6,VLOOKUP('2. Kostprijs per beheertype'!A158,'4. Beheertypen complexiteit'!$A$8:$I$59,9,FALSE),"Nvt")))))))</f>
        <v>1</v>
      </c>
      <c r="E158" s="373">
        <f>IF(C158='1. Samenvatting'!$H$9,VLOOKUP('2. Kostprijs per beheertype'!D158,'1. Samenvatting'!$G$9:$N$15,2,FALSE),IF(C158='1. Samenvatting'!$I$9,VLOOKUP('2. Kostprijs per beheertype'!D158,'1. Samenvatting'!$G$9:$N$15,3),IF(C158='1. Samenvatting'!$J$9,VLOOKUP('2. Kostprijs per beheertype'!D158,'1. Samenvatting'!$G$9:$N$15,4),IF(C158='1. Samenvatting'!$K$9,VLOOKUP('2. Kostprijs per beheertype'!D158,'1. Samenvatting'!$G$9:$N$15,5),IF(C158='1. Samenvatting'!$L$9,VLOOKUP('2. Kostprijs per beheertype'!D158,'1. Samenvatting'!$G$9:$N$15,6),IF(C158='1. Samenvatting'!$M$9,VLOOKUP('2. Kostprijs per beheertype'!D158,'1. Samenvatting'!$G$9:$N$15,7),IF(C158='1. Samenvatting'!$N$9,VLOOKUP('2. Kostprijs per beheertype'!D158,'1. Samenvatting'!$G$9:$N$15,8),"Nvt")))))))</f>
        <v>31.686912341624982</v>
      </c>
      <c r="F158" s="373">
        <f>IF(C158='1. Samenvatting'!$H$9,VLOOKUP('2. Kostprijs per beheertype'!D158,'1. Samenvatting'!$G$16:$N$20,2,FALSE),IF(C158='1. Samenvatting'!$I$9,VLOOKUP('2. Kostprijs per beheertype'!D158,'1. Samenvatting'!$G$16:$N$20,3,FALSE),IF(C158='1. Samenvatting'!$J$9,VLOOKUP('2. Kostprijs per beheertype'!D158,'1. Samenvatting'!$G$16:$N$20,4,FALSE),IF(C158='1. Samenvatting'!$K$9,VLOOKUP('2. Kostprijs per beheertype'!D158,'1. Samenvatting'!$G$16:$N$20,5,FALSE),IF(C158='1. Samenvatting'!$L$9,VLOOKUP('2. Kostprijs per beheertype'!D158,'1. Samenvatting'!$G$16:$N$20,6,FALSE),IF(C158='1. Samenvatting'!$M$9,VLOOKUP('2. Kostprijs per beheertype'!D158,'1. Samenvatting'!$G$16:$N$20,7,FALSE),IF(C158='1. Samenvatting'!$N$9,VLOOKUP('2. Kostprijs per beheertype'!D158,'1. Samenvatting'!$G$16:$N$20,8,FALSE),"Nvt")))))))</f>
        <v>31.686912341624982</v>
      </c>
      <c r="G158" s="374">
        <v>12</v>
      </c>
      <c r="H158" s="373">
        <f t="shared" si="4"/>
        <v>2.6405760284687485</v>
      </c>
      <c r="I158" s="373">
        <f t="shared" si="5"/>
        <v>2.6405760284687485</v>
      </c>
      <c r="J158" s="373"/>
      <c r="K158" s="393"/>
      <c r="L158" s="394"/>
    </row>
    <row r="159" spans="1:12" s="300" customFormat="1" ht="9" x14ac:dyDescent="0.15">
      <c r="A159" s="400" t="s">
        <v>126</v>
      </c>
      <c r="B159" s="400" t="s">
        <v>127</v>
      </c>
      <c r="C159" s="429" t="s">
        <v>16</v>
      </c>
      <c r="D159" s="372">
        <f>IF(C159='4. Beheertypen complexiteit'!$C$6,VLOOKUP('2. Kostprijs per beheertype'!A159,'4. Beheertypen complexiteit'!$A$8:$I$59,3,FALSE),IF(C159='4. Beheertypen complexiteit'!$D$6,VLOOKUP('2. Kostprijs per beheertype'!A159,'4. Beheertypen complexiteit'!$A$8:$I$59,4,FALSE),IF(C159='4. Beheertypen complexiteit'!$E$6,VLOOKUP('2. Kostprijs per beheertype'!A159,'4. Beheertypen complexiteit'!$A$8:$I$59,5,FALSE),IF(C159='4. Beheertypen complexiteit'!$F$6,VLOOKUP('2. Kostprijs per beheertype'!A159,'4. Beheertypen complexiteit'!$A$8:$I$59,6,FALSE),IF(C159='4. Beheertypen complexiteit'!$G$6,VLOOKUP('2. Kostprijs per beheertype'!A159,'4. Beheertypen complexiteit'!$A$8:$I$59,7,FALSE),IF(C159='4. Beheertypen complexiteit'!$H$6,VLOOKUP('2. Kostprijs per beheertype'!A159,'4. Beheertypen complexiteit'!$A$8:$I$59,8,FALSE),IF(C159='4. Beheertypen complexiteit'!$I$6,VLOOKUP('2. Kostprijs per beheertype'!A159,'4. Beheertypen complexiteit'!$A$8:$I$59,9,FALSE),"Nvt")))))))</f>
        <v>2</v>
      </c>
      <c r="E159" s="373">
        <f>IF(C159='1. Samenvatting'!$H$9,VLOOKUP('2. Kostprijs per beheertype'!D159,'1. Samenvatting'!$G$9:$N$15,2,FALSE),IF(C159='1. Samenvatting'!$I$9,VLOOKUP('2. Kostprijs per beheertype'!D159,'1. Samenvatting'!$G$9:$N$15,3),IF(C159='1. Samenvatting'!$J$9,VLOOKUP('2. Kostprijs per beheertype'!D159,'1. Samenvatting'!$G$9:$N$15,4),IF(C159='1. Samenvatting'!$K$9,VLOOKUP('2. Kostprijs per beheertype'!D159,'1. Samenvatting'!$G$9:$N$15,5),IF(C159='1. Samenvatting'!$L$9,VLOOKUP('2. Kostprijs per beheertype'!D159,'1. Samenvatting'!$G$9:$N$15,6),IF(C159='1. Samenvatting'!$M$9,VLOOKUP('2. Kostprijs per beheertype'!D159,'1. Samenvatting'!$G$9:$N$15,7),IF(C159='1. Samenvatting'!$N$9,VLOOKUP('2. Kostprijs per beheertype'!D159,'1. Samenvatting'!$G$9:$N$15,8),"Nvt")))))))</f>
        <v>124.16799313804943</v>
      </c>
      <c r="F159" s="373">
        <f>IF(C159='1. Samenvatting'!$H$9,VLOOKUP('2. Kostprijs per beheertype'!D159,'1. Samenvatting'!$G$16:$N$20,2,FALSE),IF(C159='1. Samenvatting'!$I$9,VLOOKUP('2. Kostprijs per beheertype'!D159,'1. Samenvatting'!$G$16:$N$20,3,FALSE),IF(C159='1. Samenvatting'!$J$9,VLOOKUP('2. Kostprijs per beheertype'!D159,'1. Samenvatting'!$G$16:$N$20,4,FALSE),IF(C159='1. Samenvatting'!$K$9,VLOOKUP('2. Kostprijs per beheertype'!D159,'1. Samenvatting'!$G$16:$N$20,5,FALSE),IF(C159='1. Samenvatting'!$L$9,VLOOKUP('2. Kostprijs per beheertype'!D159,'1. Samenvatting'!$G$16:$N$20,6,FALSE),IF(C159='1. Samenvatting'!$M$9,VLOOKUP('2. Kostprijs per beheertype'!D159,'1. Samenvatting'!$G$16:$N$20,7,FALSE),IF(C159='1. Samenvatting'!$N$9,VLOOKUP('2. Kostprijs per beheertype'!D159,'1. Samenvatting'!$G$16:$N$20,8,FALSE),"Nvt")))))))</f>
        <v>124.16799313804943</v>
      </c>
      <c r="G159" s="374">
        <v>12</v>
      </c>
      <c r="H159" s="373">
        <f t="shared" si="4"/>
        <v>10.347332761504118</v>
      </c>
      <c r="I159" s="373">
        <f t="shared" si="5"/>
        <v>10.347332761504118</v>
      </c>
      <c r="J159" s="373"/>
      <c r="K159" s="393"/>
      <c r="L159" s="394"/>
    </row>
    <row r="160" spans="1:12" s="300" customFormat="1" ht="9" x14ac:dyDescent="0.15">
      <c r="A160" s="398" t="s">
        <v>128</v>
      </c>
      <c r="B160" s="398" t="s">
        <v>129</v>
      </c>
      <c r="C160" s="365" t="s">
        <v>19</v>
      </c>
      <c r="D160" s="366">
        <f>IF(C160='4. Beheertypen complexiteit'!$C$6,VLOOKUP('2. Kostprijs per beheertype'!A160,'4. Beheertypen complexiteit'!$A$8:$I$59,3,FALSE),IF(C160='4. Beheertypen complexiteit'!$D$6,VLOOKUP('2. Kostprijs per beheertype'!A160,'4. Beheertypen complexiteit'!$A$8:$I$59,4,FALSE),IF(C160='4. Beheertypen complexiteit'!$E$6,VLOOKUP('2. Kostprijs per beheertype'!A160,'4. Beheertypen complexiteit'!$A$8:$I$59,5,FALSE),IF(C160='4. Beheertypen complexiteit'!$F$6,VLOOKUP('2. Kostprijs per beheertype'!A160,'4. Beheertypen complexiteit'!$A$8:$I$59,6,FALSE),IF(C160='4. Beheertypen complexiteit'!$G$6,VLOOKUP('2. Kostprijs per beheertype'!A160,'4. Beheertypen complexiteit'!$A$8:$I$59,7,FALSE),IF(C160='4. Beheertypen complexiteit'!$H$6,VLOOKUP('2. Kostprijs per beheertype'!A160,'4. Beheertypen complexiteit'!$A$8:$I$59,8,FALSE),IF(C160='4. Beheertypen complexiteit'!$I$6,VLOOKUP('2. Kostprijs per beheertype'!A160,'4. Beheertypen complexiteit'!$A$8:$I$59,9,FALSE),"Nvt")))))))</f>
        <v>2</v>
      </c>
      <c r="E160" s="367">
        <f>IF(C160='1. Samenvatting'!$H$9,VLOOKUP('2. Kostprijs per beheertype'!D160,'1. Samenvatting'!$G$9:$N$15,2,FALSE),IF(C160='1. Samenvatting'!$I$9,VLOOKUP('2. Kostprijs per beheertype'!D160,'1. Samenvatting'!$G$9:$N$15,3),IF(C160='1. Samenvatting'!$J$9,VLOOKUP('2. Kostprijs per beheertype'!D160,'1. Samenvatting'!$G$9:$N$15,4),IF(C160='1. Samenvatting'!$K$9,VLOOKUP('2. Kostprijs per beheertype'!D160,'1. Samenvatting'!$G$9:$N$15,5),IF(C160='1. Samenvatting'!$L$9,VLOOKUP('2. Kostprijs per beheertype'!D160,'1. Samenvatting'!$G$9:$N$15,6),IF(C160='1. Samenvatting'!$M$9,VLOOKUP('2. Kostprijs per beheertype'!D160,'1. Samenvatting'!$G$9:$N$15,7),IF(C160='1. Samenvatting'!$N$9,VLOOKUP('2. Kostprijs per beheertype'!D160,'1. Samenvatting'!$G$9:$N$15,8),"Nvt")))))))</f>
        <v>55.738852766567376</v>
      </c>
      <c r="F160" s="367">
        <f>IF(C160='1. Samenvatting'!$H$9,VLOOKUP('2. Kostprijs per beheertype'!D160,'1. Samenvatting'!$G$16:$N$20,2,FALSE),IF(C160='1. Samenvatting'!$I$9,VLOOKUP('2. Kostprijs per beheertype'!D160,'1. Samenvatting'!$G$16:$N$20,3,FALSE),IF(C160='1. Samenvatting'!$J$9,VLOOKUP('2. Kostprijs per beheertype'!D160,'1. Samenvatting'!$G$16:$N$20,4,FALSE),IF(C160='1. Samenvatting'!$K$9,VLOOKUP('2. Kostprijs per beheertype'!D160,'1. Samenvatting'!$G$16:$N$20,5,FALSE),IF(C160='1. Samenvatting'!$L$9,VLOOKUP('2. Kostprijs per beheertype'!D160,'1. Samenvatting'!$G$16:$N$20,6,FALSE),IF(C160='1. Samenvatting'!$M$9,VLOOKUP('2. Kostprijs per beheertype'!D160,'1. Samenvatting'!$G$16:$N$20,7,FALSE),IF(C160='1. Samenvatting'!$N$9,VLOOKUP('2. Kostprijs per beheertype'!D160,'1. Samenvatting'!$G$16:$N$20,8,FALSE),"Nvt")))))))</f>
        <v>66.622547266567381</v>
      </c>
      <c r="G160" s="368">
        <v>6</v>
      </c>
      <c r="H160" s="367">
        <f t="shared" si="4"/>
        <v>9.2898087944278966</v>
      </c>
      <c r="I160" s="367">
        <f t="shared" si="5"/>
        <v>11.103757877761231</v>
      </c>
      <c r="J160" s="367">
        <f>'3. Parameters kostprijsmodel'!$F$36</f>
        <v>3.0089563425755728</v>
      </c>
      <c r="K160" s="361">
        <f>SUM(H160:H162)+J160</f>
        <v>23.427376101752046</v>
      </c>
      <c r="L160" s="362">
        <f>SUM(I160:I162)+J160</f>
        <v>25.566273162083874</v>
      </c>
    </row>
    <row r="161" spans="1:12" s="300" customFormat="1" ht="9" x14ac:dyDescent="0.15">
      <c r="A161" s="400" t="s">
        <v>128</v>
      </c>
      <c r="B161" s="400" t="s">
        <v>129</v>
      </c>
      <c r="C161" s="371" t="s">
        <v>21</v>
      </c>
      <c r="D161" s="372">
        <f>IF(C161='4. Beheertypen complexiteit'!$C$6,VLOOKUP('2. Kostprijs per beheertype'!A161,'4. Beheertypen complexiteit'!$A$8:$I$59,3,FALSE),IF(C161='4. Beheertypen complexiteit'!$D$6,VLOOKUP('2. Kostprijs per beheertype'!A161,'4. Beheertypen complexiteit'!$A$8:$I$59,4,FALSE),IF(C161='4. Beheertypen complexiteit'!$E$6,VLOOKUP('2. Kostprijs per beheertype'!A161,'4. Beheertypen complexiteit'!$A$8:$I$59,5,FALSE),IF(C161='4. Beheertypen complexiteit'!$F$6,VLOOKUP('2. Kostprijs per beheertype'!A161,'4. Beheertypen complexiteit'!$A$8:$I$59,6,FALSE),IF(C161='4. Beheertypen complexiteit'!$G$6,VLOOKUP('2. Kostprijs per beheertype'!A161,'4. Beheertypen complexiteit'!$A$8:$I$59,7,FALSE),IF(C161='4. Beheertypen complexiteit'!$H$6,VLOOKUP('2. Kostprijs per beheertype'!A161,'4. Beheertypen complexiteit'!$A$8:$I$59,8,FALSE),IF(C161='4. Beheertypen complexiteit'!$I$6,VLOOKUP('2. Kostprijs per beheertype'!A161,'4. Beheertypen complexiteit'!$A$8:$I$59,9,FALSE),"Nvt")))))))</f>
        <v>1</v>
      </c>
      <c r="E161" s="373">
        <f>IF(C161='1. Samenvatting'!$H$9,VLOOKUP('2. Kostprijs per beheertype'!D161,'1. Samenvatting'!$G$9:$N$15,2,FALSE),IF(C161='1. Samenvatting'!$I$9,VLOOKUP('2. Kostprijs per beheertype'!D161,'1. Samenvatting'!$G$9:$N$15,3),IF(C161='1. Samenvatting'!$J$9,VLOOKUP('2. Kostprijs per beheertype'!D161,'1. Samenvatting'!$G$9:$N$15,4),IF(C161='1. Samenvatting'!$K$9,VLOOKUP('2. Kostprijs per beheertype'!D161,'1. Samenvatting'!$G$9:$N$15,5),IF(C161='1. Samenvatting'!$L$9,VLOOKUP('2. Kostprijs per beheertype'!D161,'1. Samenvatting'!$G$9:$N$15,6),IF(C161='1. Samenvatting'!$M$9,VLOOKUP('2. Kostprijs per beheertype'!D161,'1. Samenvatting'!$G$9:$N$15,7),IF(C161='1. Samenvatting'!$N$9,VLOOKUP('2. Kostprijs per beheertype'!D161,'1. Samenvatting'!$G$9:$N$15,8),"Nvt")))))))</f>
        <v>50.928209617678966</v>
      </c>
      <c r="F161" s="373">
        <f>IF(C161='1. Samenvatting'!$H$9,VLOOKUP('2. Kostprijs per beheertype'!D161,'1. Samenvatting'!$G$16:$N$20,2,FALSE),IF(C161='1. Samenvatting'!$I$9,VLOOKUP('2. Kostprijs per beheertype'!D161,'1. Samenvatting'!$G$16:$N$20,3,FALSE),IF(C161='1. Samenvatting'!$J$9,VLOOKUP('2. Kostprijs per beheertype'!D161,'1. Samenvatting'!$G$16:$N$20,4,FALSE),IF(C161='1. Samenvatting'!$K$9,VLOOKUP('2. Kostprijs per beheertype'!D161,'1. Samenvatting'!$G$16:$N$20,5,FALSE),IF(C161='1. Samenvatting'!$L$9,VLOOKUP('2. Kostprijs per beheertype'!D161,'1. Samenvatting'!$G$16:$N$20,6,FALSE),IF(C161='1. Samenvatting'!$M$9,VLOOKUP('2. Kostprijs per beheertype'!D161,'1. Samenvatting'!$G$16:$N$20,7,FALSE),IF(C161='1. Samenvatting'!$N$9,VLOOKUP('2. Kostprijs per beheertype'!D161,'1. Samenvatting'!$G$16:$N$20,8,FALSE),"Nvt")))))))</f>
        <v>52.877897479669919</v>
      </c>
      <c r="G161" s="374">
        <v>6</v>
      </c>
      <c r="H161" s="373">
        <f t="shared" si="4"/>
        <v>8.4880349362798277</v>
      </c>
      <c r="I161" s="373">
        <f t="shared" si="5"/>
        <v>8.8129829132783204</v>
      </c>
      <c r="J161" s="373"/>
      <c r="K161" s="393"/>
      <c r="L161" s="394"/>
    </row>
    <row r="162" spans="1:12" s="300" customFormat="1" ht="9" x14ac:dyDescent="0.15">
      <c r="A162" s="401" t="s">
        <v>128</v>
      </c>
      <c r="B162" s="401" t="s">
        <v>129</v>
      </c>
      <c r="C162" s="425" t="s">
        <v>27</v>
      </c>
      <c r="D162" s="380">
        <f>IF(C162='4. Beheertypen complexiteit'!$C$6,VLOOKUP('2. Kostprijs per beheertype'!A162,'4. Beheertypen complexiteit'!$A$8:$I$59,3,FALSE),IF(C162='4. Beheertypen complexiteit'!$D$6,VLOOKUP('2. Kostprijs per beheertype'!A162,'4. Beheertypen complexiteit'!$A$8:$I$59,4,FALSE),IF(C162='4. Beheertypen complexiteit'!$E$6,VLOOKUP('2. Kostprijs per beheertype'!A162,'4. Beheertypen complexiteit'!$A$8:$I$59,5,FALSE),IF(C162='4. Beheertypen complexiteit'!$F$6,VLOOKUP('2. Kostprijs per beheertype'!A162,'4. Beheertypen complexiteit'!$A$8:$I$59,6,FALSE),IF(C162='4. Beheertypen complexiteit'!$G$6,VLOOKUP('2. Kostprijs per beheertype'!A162,'4. Beheertypen complexiteit'!$A$8:$I$59,7,FALSE),IF(C162='4. Beheertypen complexiteit'!$H$6,VLOOKUP('2. Kostprijs per beheertype'!A162,'4. Beheertypen complexiteit'!$A$8:$I$59,8,FALSE),IF(C162='4. Beheertypen complexiteit'!$I$6,VLOOKUP('2. Kostprijs per beheertype'!A162,'4. Beheertypen complexiteit'!$A$8:$I$59,9,FALSE),"Nvt")))))))</f>
        <v>1</v>
      </c>
      <c r="E162" s="381">
        <f>IF(C162='1. Samenvatting'!$H$9,VLOOKUP('2. Kostprijs per beheertype'!D162,'1. Samenvatting'!$G$9:$N$15,2,FALSE),IF(C162='1. Samenvatting'!$I$9,VLOOKUP('2. Kostprijs per beheertype'!D162,'1. Samenvatting'!$G$9:$N$15,3),IF(C162='1. Samenvatting'!$J$9,VLOOKUP('2. Kostprijs per beheertype'!D162,'1. Samenvatting'!$G$9:$N$15,4),IF(C162='1. Samenvatting'!$K$9,VLOOKUP('2. Kostprijs per beheertype'!D162,'1. Samenvatting'!$G$9:$N$15,5),IF(C162='1. Samenvatting'!$L$9,VLOOKUP('2. Kostprijs per beheertype'!D162,'1. Samenvatting'!$G$9:$N$15,6),IF(C162='1. Samenvatting'!$M$9,VLOOKUP('2. Kostprijs per beheertype'!D162,'1. Samenvatting'!$G$9:$N$15,7),IF(C162='1. Samenvatting'!$N$9,VLOOKUP('2. Kostprijs per beheertype'!D162,'1. Samenvatting'!$G$9:$N$15,8),"Nvt")))))))</f>
        <v>31.686912341624982</v>
      </c>
      <c r="F162" s="381">
        <f>IF(C162='1. Samenvatting'!$H$9,VLOOKUP('2. Kostprijs per beheertype'!D162,'1. Samenvatting'!$G$16:$N$20,2,FALSE),IF(C162='1. Samenvatting'!$I$9,VLOOKUP('2. Kostprijs per beheertype'!D162,'1. Samenvatting'!$G$16:$N$20,3,FALSE),IF(C162='1. Samenvatting'!$J$9,VLOOKUP('2. Kostprijs per beheertype'!D162,'1. Samenvatting'!$G$16:$N$20,4,FALSE),IF(C162='1. Samenvatting'!$K$9,VLOOKUP('2. Kostprijs per beheertype'!D162,'1. Samenvatting'!$G$16:$N$20,5,FALSE),IF(C162='1. Samenvatting'!$L$9,VLOOKUP('2. Kostprijs per beheertype'!D162,'1. Samenvatting'!$G$16:$N$20,6,FALSE),IF(C162='1. Samenvatting'!$M$9,VLOOKUP('2. Kostprijs per beheertype'!D162,'1. Samenvatting'!$G$16:$N$20,7,FALSE),IF(C162='1. Samenvatting'!$N$9,VLOOKUP('2. Kostprijs per beheertype'!D162,'1. Samenvatting'!$G$16:$N$20,8,FALSE),"Nvt")))))))</f>
        <v>31.686912341624982</v>
      </c>
      <c r="G162" s="382">
        <v>12</v>
      </c>
      <c r="H162" s="381">
        <f t="shared" si="4"/>
        <v>2.6405760284687485</v>
      </c>
      <c r="I162" s="381">
        <f t="shared" si="5"/>
        <v>2.6405760284687485</v>
      </c>
      <c r="J162" s="381"/>
      <c r="K162" s="396"/>
      <c r="L162" s="397"/>
    </row>
    <row r="163" spans="1:12" s="300" customFormat="1" ht="9" x14ac:dyDescent="0.15">
      <c r="A163" s="334" t="s">
        <v>89</v>
      </c>
      <c r="B163" s="334" t="s">
        <v>130</v>
      </c>
      <c r="C163" s="371" t="s">
        <v>19</v>
      </c>
      <c r="D163" s="372">
        <f>IF(C163='4. Beheertypen complexiteit'!$C$6,VLOOKUP('2. Kostprijs per beheertype'!A163,'4. Beheertypen complexiteit'!$A$8:$I$59,3,FALSE),IF(C163='4. Beheertypen complexiteit'!$D$6,VLOOKUP('2. Kostprijs per beheertype'!A163,'4. Beheertypen complexiteit'!$A$8:$I$59,4,FALSE),IF(C163='4. Beheertypen complexiteit'!$E$6,VLOOKUP('2. Kostprijs per beheertype'!A163,'4. Beheertypen complexiteit'!$A$8:$I$59,5,FALSE),IF(C163='4. Beheertypen complexiteit'!$F$6,VLOOKUP('2. Kostprijs per beheertype'!A163,'4. Beheertypen complexiteit'!$A$8:$I$59,6,FALSE),IF(C163='4. Beheertypen complexiteit'!$G$6,VLOOKUP('2. Kostprijs per beheertype'!A163,'4. Beheertypen complexiteit'!$A$8:$I$59,7,FALSE),IF(C163='4. Beheertypen complexiteit'!$H$6,VLOOKUP('2. Kostprijs per beheertype'!A163,'4. Beheertypen complexiteit'!$A$8:$I$59,8,FALSE),IF(C163='4. Beheertypen complexiteit'!$I$6,VLOOKUP('2. Kostprijs per beheertype'!A163,'4. Beheertypen complexiteit'!$A$8:$I$59,9,FALSE),"Nvt")))))))</f>
        <v>3</v>
      </c>
      <c r="E163" s="373">
        <f>IF(C163='1. Samenvatting'!$H$9,VLOOKUP('2. Kostprijs per beheertype'!D163,'1. Samenvatting'!$G$9:$N$15,2,FALSE),IF(C163='1. Samenvatting'!$I$9,VLOOKUP('2. Kostprijs per beheertype'!D163,'1. Samenvatting'!$G$9:$N$15,3),IF(C163='1. Samenvatting'!$J$9,VLOOKUP('2. Kostprijs per beheertype'!D163,'1. Samenvatting'!$G$9:$N$15,4),IF(C163='1. Samenvatting'!$K$9,VLOOKUP('2. Kostprijs per beheertype'!D163,'1. Samenvatting'!$G$9:$N$15,5),IF(C163='1. Samenvatting'!$L$9,VLOOKUP('2. Kostprijs per beheertype'!D163,'1. Samenvatting'!$G$9:$N$15,6),IF(C163='1. Samenvatting'!$M$9,VLOOKUP('2. Kostprijs per beheertype'!D163,'1. Samenvatting'!$G$9:$N$15,7),IF(C163='1. Samenvatting'!$N$9,VLOOKUP('2. Kostprijs per beheertype'!D163,'1. Samenvatting'!$G$9:$N$15,8),"Nvt")))))))</f>
        <v>43.559801600749353</v>
      </c>
      <c r="F163" s="373">
        <f>IF(C163='1. Samenvatting'!$H$9,VLOOKUP('2. Kostprijs per beheertype'!D163,'1. Samenvatting'!$G$16:$N$20,2,FALSE),IF(C163='1. Samenvatting'!$I$9,VLOOKUP('2. Kostprijs per beheertype'!D163,'1. Samenvatting'!$G$16:$N$20,3,FALSE),IF(C163='1. Samenvatting'!$J$9,VLOOKUP('2. Kostprijs per beheertype'!D163,'1. Samenvatting'!$G$16:$N$20,4,FALSE),IF(C163='1. Samenvatting'!$K$9,VLOOKUP('2. Kostprijs per beheertype'!D163,'1. Samenvatting'!$G$16:$N$20,5,FALSE),IF(C163='1. Samenvatting'!$L$9,VLOOKUP('2. Kostprijs per beheertype'!D163,'1. Samenvatting'!$G$16:$N$20,6,FALSE),IF(C163='1. Samenvatting'!$M$9,VLOOKUP('2. Kostprijs per beheertype'!D163,'1. Samenvatting'!$G$16:$N$20,7,FALSE),IF(C163='1. Samenvatting'!$N$9,VLOOKUP('2. Kostprijs per beheertype'!D163,'1. Samenvatting'!$G$16:$N$20,8,FALSE),"Nvt")))))))</f>
        <v>51.288023660578418</v>
      </c>
      <c r="G163" s="374">
        <v>12</v>
      </c>
      <c r="H163" s="373">
        <f t="shared" si="4"/>
        <v>3.6299834667291129</v>
      </c>
      <c r="I163" s="373">
        <f t="shared" si="5"/>
        <v>4.2740019717148678</v>
      </c>
      <c r="J163" s="373">
        <f>'3. Parameters kostprijsmodel'!$F$36</f>
        <v>3.0089563425755728</v>
      </c>
      <c r="K163" s="361">
        <f>SUM(H163:H165)+J163</f>
        <v>17.767550774053262</v>
      </c>
      <c r="L163" s="362">
        <f>SUM(I163:I165)+J163</f>
        <v>18.736517256037509</v>
      </c>
    </row>
    <row r="164" spans="1:12" s="300" customFormat="1" ht="9" x14ac:dyDescent="0.15">
      <c r="A164" s="400" t="s">
        <v>89</v>
      </c>
      <c r="B164" s="400" t="s">
        <v>130</v>
      </c>
      <c r="C164" s="371" t="s">
        <v>21</v>
      </c>
      <c r="D164" s="372">
        <f>IF(C164='4. Beheertypen complexiteit'!$C$6,VLOOKUP('2. Kostprijs per beheertype'!A164,'4. Beheertypen complexiteit'!$A$8:$I$59,3,FALSE),IF(C164='4. Beheertypen complexiteit'!$D$6,VLOOKUP('2. Kostprijs per beheertype'!A164,'4. Beheertypen complexiteit'!$A$8:$I$59,4,FALSE),IF(C164='4. Beheertypen complexiteit'!$E$6,VLOOKUP('2. Kostprijs per beheertype'!A164,'4. Beheertypen complexiteit'!$A$8:$I$59,5,FALSE),IF(C164='4. Beheertypen complexiteit'!$F$6,VLOOKUP('2. Kostprijs per beheertype'!A164,'4. Beheertypen complexiteit'!$A$8:$I$59,6,FALSE),IF(C164='4. Beheertypen complexiteit'!$G$6,VLOOKUP('2. Kostprijs per beheertype'!A164,'4. Beheertypen complexiteit'!$A$8:$I$59,7,FALSE),IF(C164='4. Beheertypen complexiteit'!$H$6,VLOOKUP('2. Kostprijs per beheertype'!A164,'4. Beheertypen complexiteit'!$A$8:$I$59,8,FALSE),IF(C164='4. Beheertypen complexiteit'!$I$6,VLOOKUP('2. Kostprijs per beheertype'!A164,'4. Beheertypen complexiteit'!$A$8:$I$59,9,FALSE),"Nvt")))))))</f>
        <v>1</v>
      </c>
      <c r="E164" s="373">
        <f>IF(C164='1. Samenvatting'!$H$9,VLOOKUP('2. Kostprijs per beheertype'!D164,'1. Samenvatting'!$G$9:$N$15,2,FALSE),IF(C164='1. Samenvatting'!$I$9,VLOOKUP('2. Kostprijs per beheertype'!D164,'1. Samenvatting'!$G$9:$N$15,3),IF(C164='1. Samenvatting'!$J$9,VLOOKUP('2. Kostprijs per beheertype'!D164,'1. Samenvatting'!$G$9:$N$15,4),IF(C164='1. Samenvatting'!$K$9,VLOOKUP('2. Kostprijs per beheertype'!D164,'1. Samenvatting'!$G$9:$N$15,5),IF(C164='1. Samenvatting'!$L$9,VLOOKUP('2. Kostprijs per beheertype'!D164,'1. Samenvatting'!$G$9:$N$15,6),IF(C164='1. Samenvatting'!$M$9,VLOOKUP('2. Kostprijs per beheertype'!D164,'1. Samenvatting'!$G$9:$N$15,7),IF(C164='1. Samenvatting'!$N$9,VLOOKUP('2. Kostprijs per beheertype'!D164,'1. Samenvatting'!$G$9:$N$15,8),"Nvt")))))))</f>
        <v>50.928209617678966</v>
      </c>
      <c r="F164" s="373">
        <f>IF(C164='1. Samenvatting'!$H$9,VLOOKUP('2. Kostprijs per beheertype'!D164,'1. Samenvatting'!$G$16:$N$20,2,FALSE),IF(C164='1. Samenvatting'!$I$9,VLOOKUP('2. Kostprijs per beheertype'!D164,'1. Samenvatting'!$G$16:$N$20,3,FALSE),IF(C164='1. Samenvatting'!$J$9,VLOOKUP('2. Kostprijs per beheertype'!D164,'1. Samenvatting'!$G$16:$N$20,4,FALSE),IF(C164='1. Samenvatting'!$K$9,VLOOKUP('2. Kostprijs per beheertype'!D164,'1. Samenvatting'!$G$16:$N$20,5,FALSE),IF(C164='1. Samenvatting'!$L$9,VLOOKUP('2. Kostprijs per beheertype'!D164,'1. Samenvatting'!$G$16:$N$20,6,FALSE),IF(C164='1. Samenvatting'!$M$9,VLOOKUP('2. Kostprijs per beheertype'!D164,'1. Samenvatting'!$G$16:$N$20,7,FALSE),IF(C164='1. Samenvatting'!$N$9,VLOOKUP('2. Kostprijs per beheertype'!D164,'1. Samenvatting'!$G$16:$N$20,8,FALSE),"Nvt")))))))</f>
        <v>52.877897479669919</v>
      </c>
      <c r="G164" s="374">
        <v>6</v>
      </c>
      <c r="H164" s="373">
        <f t="shared" si="4"/>
        <v>8.4880349362798277</v>
      </c>
      <c r="I164" s="373">
        <f t="shared" si="5"/>
        <v>8.8129829132783204</v>
      </c>
      <c r="J164" s="373"/>
      <c r="K164" s="393"/>
      <c r="L164" s="394"/>
    </row>
    <row r="165" spans="1:12" s="300" customFormat="1" ht="9" x14ac:dyDescent="0.15">
      <c r="A165" s="400" t="s">
        <v>89</v>
      </c>
      <c r="B165" s="400" t="s">
        <v>130</v>
      </c>
      <c r="C165" s="371" t="s">
        <v>27</v>
      </c>
      <c r="D165" s="372">
        <f>IF(C165='4. Beheertypen complexiteit'!$C$6,VLOOKUP('2. Kostprijs per beheertype'!A165,'4. Beheertypen complexiteit'!$A$8:$I$59,3,FALSE),IF(C165='4. Beheertypen complexiteit'!$D$6,VLOOKUP('2. Kostprijs per beheertype'!A165,'4. Beheertypen complexiteit'!$A$8:$I$59,4,FALSE),IF(C165='4. Beheertypen complexiteit'!$E$6,VLOOKUP('2. Kostprijs per beheertype'!A165,'4. Beheertypen complexiteit'!$A$8:$I$59,5,FALSE),IF(C165='4. Beheertypen complexiteit'!$F$6,VLOOKUP('2. Kostprijs per beheertype'!A165,'4. Beheertypen complexiteit'!$A$8:$I$59,6,FALSE),IF(C165='4. Beheertypen complexiteit'!$G$6,VLOOKUP('2. Kostprijs per beheertype'!A165,'4. Beheertypen complexiteit'!$A$8:$I$59,7,FALSE),IF(C165='4. Beheertypen complexiteit'!$H$6,VLOOKUP('2. Kostprijs per beheertype'!A165,'4. Beheertypen complexiteit'!$A$8:$I$59,8,FALSE),IF(C165='4. Beheertypen complexiteit'!$I$6,VLOOKUP('2. Kostprijs per beheertype'!A165,'4. Beheertypen complexiteit'!$A$8:$I$59,9,FALSE),"Nvt")))))))</f>
        <v>1</v>
      </c>
      <c r="E165" s="373">
        <f>IF(C165='1. Samenvatting'!$H$9,VLOOKUP('2. Kostprijs per beheertype'!D165,'1. Samenvatting'!$G$9:$N$15,2,FALSE),IF(C165='1. Samenvatting'!$I$9,VLOOKUP('2. Kostprijs per beheertype'!D165,'1. Samenvatting'!$G$9:$N$15,3),IF(C165='1. Samenvatting'!$J$9,VLOOKUP('2. Kostprijs per beheertype'!D165,'1. Samenvatting'!$G$9:$N$15,4),IF(C165='1. Samenvatting'!$K$9,VLOOKUP('2. Kostprijs per beheertype'!D165,'1. Samenvatting'!$G$9:$N$15,5),IF(C165='1. Samenvatting'!$L$9,VLOOKUP('2. Kostprijs per beheertype'!D165,'1. Samenvatting'!$G$9:$N$15,6),IF(C165='1. Samenvatting'!$M$9,VLOOKUP('2. Kostprijs per beheertype'!D165,'1. Samenvatting'!$G$9:$N$15,7),IF(C165='1. Samenvatting'!$N$9,VLOOKUP('2. Kostprijs per beheertype'!D165,'1. Samenvatting'!$G$9:$N$15,8),"Nvt")))))))</f>
        <v>31.686912341624982</v>
      </c>
      <c r="F165" s="373">
        <f>IF(C165='1. Samenvatting'!$H$9,VLOOKUP('2. Kostprijs per beheertype'!D165,'1. Samenvatting'!$G$16:$N$20,2,FALSE),IF(C165='1. Samenvatting'!$I$9,VLOOKUP('2. Kostprijs per beheertype'!D165,'1. Samenvatting'!$G$16:$N$20,3,FALSE),IF(C165='1. Samenvatting'!$J$9,VLOOKUP('2. Kostprijs per beheertype'!D165,'1. Samenvatting'!$G$16:$N$20,4,FALSE),IF(C165='1. Samenvatting'!$K$9,VLOOKUP('2. Kostprijs per beheertype'!D165,'1. Samenvatting'!$G$16:$N$20,5,FALSE),IF(C165='1. Samenvatting'!$L$9,VLOOKUP('2. Kostprijs per beheertype'!D165,'1. Samenvatting'!$G$16:$N$20,6,FALSE),IF(C165='1. Samenvatting'!$M$9,VLOOKUP('2. Kostprijs per beheertype'!D165,'1. Samenvatting'!$G$16:$N$20,7,FALSE),IF(C165='1. Samenvatting'!$N$9,VLOOKUP('2. Kostprijs per beheertype'!D165,'1. Samenvatting'!$G$16:$N$20,8,FALSE),"Nvt")))))))</f>
        <v>31.686912341624982</v>
      </c>
      <c r="G165" s="374">
        <v>12</v>
      </c>
      <c r="H165" s="373">
        <f t="shared" si="4"/>
        <v>2.6405760284687485</v>
      </c>
      <c r="I165" s="373">
        <f t="shared" si="5"/>
        <v>2.6405760284687485</v>
      </c>
      <c r="J165" s="373"/>
      <c r="K165" s="393"/>
      <c r="L165" s="394"/>
    </row>
    <row r="166" spans="1:12" s="300" customFormat="1" ht="9" x14ac:dyDescent="0.15">
      <c r="A166" s="398" t="s">
        <v>131</v>
      </c>
      <c r="B166" s="398" t="s">
        <v>132</v>
      </c>
      <c r="C166" s="365" t="s">
        <v>21</v>
      </c>
      <c r="D166" s="366">
        <f>IF(C166='4. Beheertypen complexiteit'!$C$6,VLOOKUP('2. Kostprijs per beheertype'!A166,'4. Beheertypen complexiteit'!$A$8:$I$59,3,FALSE),IF(C166='4. Beheertypen complexiteit'!$D$6,VLOOKUP('2. Kostprijs per beheertype'!A166,'4. Beheertypen complexiteit'!$A$8:$I$59,4,FALSE),IF(C166='4. Beheertypen complexiteit'!$E$6,VLOOKUP('2. Kostprijs per beheertype'!A166,'4. Beheertypen complexiteit'!$A$8:$I$59,5,FALSE),IF(C166='4. Beheertypen complexiteit'!$F$6,VLOOKUP('2. Kostprijs per beheertype'!A166,'4. Beheertypen complexiteit'!$A$8:$I$59,6,FALSE),IF(C166='4. Beheertypen complexiteit'!$G$6,VLOOKUP('2. Kostprijs per beheertype'!A166,'4. Beheertypen complexiteit'!$A$8:$I$59,7,FALSE),IF(C166='4. Beheertypen complexiteit'!$H$6,VLOOKUP('2. Kostprijs per beheertype'!A166,'4. Beheertypen complexiteit'!$A$8:$I$59,8,FALSE),IF(C166='4. Beheertypen complexiteit'!$I$6,VLOOKUP('2. Kostprijs per beheertype'!A166,'4. Beheertypen complexiteit'!$A$8:$I$59,9,FALSE),"Nvt")))))))</f>
        <v>1</v>
      </c>
      <c r="E166" s="367">
        <f>IF(C166='1. Samenvatting'!$H$9,VLOOKUP('2. Kostprijs per beheertype'!D166,'1. Samenvatting'!$G$9:$N$15,2,FALSE),IF(C166='1. Samenvatting'!$I$9,VLOOKUP('2. Kostprijs per beheertype'!D166,'1. Samenvatting'!$G$9:$N$15,3),IF(C166='1. Samenvatting'!$J$9,VLOOKUP('2. Kostprijs per beheertype'!D166,'1. Samenvatting'!$G$9:$N$15,4),IF(C166='1. Samenvatting'!$K$9,VLOOKUP('2. Kostprijs per beheertype'!D166,'1. Samenvatting'!$G$9:$N$15,5),IF(C166='1. Samenvatting'!$L$9,VLOOKUP('2. Kostprijs per beheertype'!D166,'1. Samenvatting'!$G$9:$N$15,6),IF(C166='1. Samenvatting'!$M$9,VLOOKUP('2. Kostprijs per beheertype'!D166,'1. Samenvatting'!$G$9:$N$15,7),IF(C166='1. Samenvatting'!$N$9,VLOOKUP('2. Kostprijs per beheertype'!D166,'1. Samenvatting'!$G$9:$N$15,8),"Nvt")))))))</f>
        <v>50.928209617678966</v>
      </c>
      <c r="F166" s="367">
        <f>IF(C166='1. Samenvatting'!$H$9,VLOOKUP('2. Kostprijs per beheertype'!D166,'1. Samenvatting'!$G$16:$N$20,2,FALSE),IF(C166='1. Samenvatting'!$I$9,VLOOKUP('2. Kostprijs per beheertype'!D166,'1. Samenvatting'!$G$16:$N$20,3,FALSE),IF(C166='1. Samenvatting'!$J$9,VLOOKUP('2. Kostprijs per beheertype'!D166,'1. Samenvatting'!$G$16:$N$20,4,FALSE),IF(C166='1. Samenvatting'!$K$9,VLOOKUP('2. Kostprijs per beheertype'!D166,'1. Samenvatting'!$G$16:$N$20,5,FALSE),IF(C166='1. Samenvatting'!$L$9,VLOOKUP('2. Kostprijs per beheertype'!D166,'1. Samenvatting'!$G$16:$N$20,6,FALSE),IF(C166='1. Samenvatting'!$M$9,VLOOKUP('2. Kostprijs per beheertype'!D166,'1. Samenvatting'!$G$16:$N$20,7,FALSE),IF(C166='1. Samenvatting'!$N$9,VLOOKUP('2. Kostprijs per beheertype'!D166,'1. Samenvatting'!$G$16:$N$20,8,FALSE),"Nvt")))))))</f>
        <v>52.877897479669919</v>
      </c>
      <c r="G166" s="368">
        <v>6</v>
      </c>
      <c r="H166" s="367">
        <f t="shared" si="4"/>
        <v>8.4880349362798277</v>
      </c>
      <c r="I166" s="367">
        <f t="shared" si="5"/>
        <v>8.8129829132783204</v>
      </c>
      <c r="J166" s="367">
        <f>'3. Parameters kostprijsmodel'!$F$36</f>
        <v>3.0089563425755728</v>
      </c>
      <c r="K166" s="361">
        <f>SUM(H166:H167)+J166</f>
        <v>14.137567307324149</v>
      </c>
      <c r="L166" s="362">
        <f>SUM(I166:I167)+J166</f>
        <v>14.462515284322642</v>
      </c>
    </row>
    <row r="167" spans="1:12" s="300" customFormat="1" ht="9" x14ac:dyDescent="0.15">
      <c r="A167" s="401" t="s">
        <v>131</v>
      </c>
      <c r="B167" s="401" t="s">
        <v>132</v>
      </c>
      <c r="C167" s="425" t="s">
        <v>27</v>
      </c>
      <c r="D167" s="380">
        <f>IF(C167='4. Beheertypen complexiteit'!$C$6,VLOOKUP('2. Kostprijs per beheertype'!A167,'4. Beheertypen complexiteit'!$A$8:$I$59,3,FALSE),IF(C167='4. Beheertypen complexiteit'!$D$6,VLOOKUP('2. Kostprijs per beheertype'!A167,'4. Beheertypen complexiteit'!$A$8:$I$59,4,FALSE),IF(C167='4. Beheertypen complexiteit'!$E$6,VLOOKUP('2. Kostprijs per beheertype'!A167,'4. Beheertypen complexiteit'!$A$8:$I$59,5,FALSE),IF(C167='4. Beheertypen complexiteit'!$F$6,VLOOKUP('2. Kostprijs per beheertype'!A167,'4. Beheertypen complexiteit'!$A$8:$I$59,6,FALSE),IF(C167='4. Beheertypen complexiteit'!$G$6,VLOOKUP('2. Kostprijs per beheertype'!A167,'4. Beheertypen complexiteit'!$A$8:$I$59,7,FALSE),IF(C167='4. Beheertypen complexiteit'!$H$6,VLOOKUP('2. Kostprijs per beheertype'!A167,'4. Beheertypen complexiteit'!$A$8:$I$59,8,FALSE),IF(C167='4. Beheertypen complexiteit'!$I$6,VLOOKUP('2. Kostprijs per beheertype'!A167,'4. Beheertypen complexiteit'!$A$8:$I$59,9,FALSE),"Nvt")))))))</f>
        <v>1</v>
      </c>
      <c r="E167" s="381">
        <f>IF(C167='1. Samenvatting'!$H$9,VLOOKUP('2. Kostprijs per beheertype'!D167,'1. Samenvatting'!$G$9:$N$15,2,FALSE),IF(C167='1. Samenvatting'!$I$9,VLOOKUP('2. Kostprijs per beheertype'!D167,'1. Samenvatting'!$G$9:$N$15,3),IF(C167='1. Samenvatting'!$J$9,VLOOKUP('2. Kostprijs per beheertype'!D167,'1. Samenvatting'!$G$9:$N$15,4),IF(C167='1. Samenvatting'!$K$9,VLOOKUP('2. Kostprijs per beheertype'!D167,'1. Samenvatting'!$G$9:$N$15,5),IF(C167='1. Samenvatting'!$L$9,VLOOKUP('2. Kostprijs per beheertype'!D167,'1. Samenvatting'!$G$9:$N$15,6),IF(C167='1. Samenvatting'!$M$9,VLOOKUP('2. Kostprijs per beheertype'!D167,'1. Samenvatting'!$G$9:$N$15,7),IF(C167='1. Samenvatting'!$N$9,VLOOKUP('2. Kostprijs per beheertype'!D167,'1. Samenvatting'!$G$9:$N$15,8),"Nvt")))))))</f>
        <v>31.686912341624982</v>
      </c>
      <c r="F167" s="381">
        <f>IF(C167='1. Samenvatting'!$H$9,VLOOKUP('2. Kostprijs per beheertype'!D167,'1. Samenvatting'!$G$16:$N$20,2,FALSE),IF(C167='1. Samenvatting'!$I$9,VLOOKUP('2. Kostprijs per beheertype'!D167,'1. Samenvatting'!$G$16:$N$20,3,FALSE),IF(C167='1. Samenvatting'!$J$9,VLOOKUP('2. Kostprijs per beheertype'!D167,'1. Samenvatting'!$G$16:$N$20,4,FALSE),IF(C167='1. Samenvatting'!$K$9,VLOOKUP('2. Kostprijs per beheertype'!D167,'1. Samenvatting'!$G$16:$N$20,5,FALSE),IF(C167='1. Samenvatting'!$L$9,VLOOKUP('2. Kostprijs per beheertype'!D167,'1. Samenvatting'!$G$16:$N$20,6,FALSE),IF(C167='1. Samenvatting'!$M$9,VLOOKUP('2. Kostprijs per beheertype'!D167,'1. Samenvatting'!$G$16:$N$20,7,FALSE),IF(C167='1. Samenvatting'!$N$9,VLOOKUP('2. Kostprijs per beheertype'!D167,'1. Samenvatting'!$G$16:$N$20,8,FALSE),"Nvt")))))))</f>
        <v>31.686912341624982</v>
      </c>
      <c r="G167" s="382">
        <v>12</v>
      </c>
      <c r="H167" s="381">
        <f t="shared" si="4"/>
        <v>2.6405760284687485</v>
      </c>
      <c r="I167" s="381">
        <f t="shared" si="5"/>
        <v>2.6405760284687485</v>
      </c>
      <c r="J167" s="381"/>
      <c r="K167" s="396"/>
      <c r="L167" s="397"/>
    </row>
    <row r="168" spans="1:12" s="300" customFormat="1" ht="9" x14ac:dyDescent="0.15">
      <c r="A168" s="334" t="s">
        <v>133</v>
      </c>
      <c r="B168" s="334" t="s">
        <v>134</v>
      </c>
      <c r="C168" s="371" t="s">
        <v>21</v>
      </c>
      <c r="D168" s="372">
        <f>IF(C168='4. Beheertypen complexiteit'!$C$6,VLOOKUP('2. Kostprijs per beheertype'!A168,'4. Beheertypen complexiteit'!$A$8:$I$59,3,FALSE),IF(C168='4. Beheertypen complexiteit'!$D$6,VLOOKUP('2. Kostprijs per beheertype'!A168,'4. Beheertypen complexiteit'!$A$8:$I$59,4,FALSE),IF(C168='4. Beheertypen complexiteit'!$E$6,VLOOKUP('2. Kostprijs per beheertype'!A168,'4. Beheertypen complexiteit'!$A$8:$I$59,5,FALSE),IF(C168='4. Beheertypen complexiteit'!$F$6,VLOOKUP('2. Kostprijs per beheertype'!A168,'4. Beheertypen complexiteit'!$A$8:$I$59,6,FALSE),IF(C168='4. Beheertypen complexiteit'!$G$6,VLOOKUP('2. Kostprijs per beheertype'!A168,'4. Beheertypen complexiteit'!$A$8:$I$59,7,FALSE),IF(C168='4. Beheertypen complexiteit'!$H$6,VLOOKUP('2. Kostprijs per beheertype'!A168,'4. Beheertypen complexiteit'!$A$8:$I$59,8,FALSE),IF(C168='4. Beheertypen complexiteit'!$I$6,VLOOKUP('2. Kostprijs per beheertype'!A168,'4. Beheertypen complexiteit'!$A$8:$I$59,9,FALSE),"Nvt")))))))</f>
        <v>1</v>
      </c>
      <c r="E168" s="373">
        <f>IF(C168='1. Samenvatting'!$H$9,VLOOKUP('2. Kostprijs per beheertype'!D168,'1. Samenvatting'!$G$9:$N$15,2,FALSE),IF(C168='1. Samenvatting'!$I$9,VLOOKUP('2. Kostprijs per beheertype'!D168,'1. Samenvatting'!$G$9:$N$15,3),IF(C168='1. Samenvatting'!$J$9,VLOOKUP('2. Kostprijs per beheertype'!D168,'1. Samenvatting'!$G$9:$N$15,4),IF(C168='1. Samenvatting'!$K$9,VLOOKUP('2. Kostprijs per beheertype'!D168,'1. Samenvatting'!$G$9:$N$15,5),IF(C168='1. Samenvatting'!$L$9,VLOOKUP('2. Kostprijs per beheertype'!D168,'1. Samenvatting'!$G$9:$N$15,6),IF(C168='1. Samenvatting'!$M$9,VLOOKUP('2. Kostprijs per beheertype'!D168,'1. Samenvatting'!$G$9:$N$15,7),IF(C168='1. Samenvatting'!$N$9,VLOOKUP('2. Kostprijs per beheertype'!D168,'1. Samenvatting'!$G$9:$N$15,8),"Nvt")))))))</f>
        <v>50.928209617678966</v>
      </c>
      <c r="F168" s="373">
        <f>IF(C168='1. Samenvatting'!$H$9,VLOOKUP('2. Kostprijs per beheertype'!D168,'1. Samenvatting'!$G$16:$N$20,2,FALSE),IF(C168='1. Samenvatting'!$I$9,VLOOKUP('2. Kostprijs per beheertype'!D168,'1. Samenvatting'!$G$16:$N$20,3,FALSE),IF(C168='1. Samenvatting'!$J$9,VLOOKUP('2. Kostprijs per beheertype'!D168,'1. Samenvatting'!$G$16:$N$20,4,FALSE),IF(C168='1. Samenvatting'!$K$9,VLOOKUP('2. Kostprijs per beheertype'!D168,'1. Samenvatting'!$G$16:$N$20,5,FALSE),IF(C168='1. Samenvatting'!$L$9,VLOOKUP('2. Kostprijs per beheertype'!D168,'1. Samenvatting'!$G$16:$N$20,6,FALSE),IF(C168='1. Samenvatting'!$M$9,VLOOKUP('2. Kostprijs per beheertype'!D168,'1. Samenvatting'!$G$16:$N$20,7,FALSE),IF(C168='1. Samenvatting'!$N$9,VLOOKUP('2. Kostprijs per beheertype'!D168,'1. Samenvatting'!$G$16:$N$20,8,FALSE),"Nvt")))))))</f>
        <v>52.877897479669919</v>
      </c>
      <c r="G168" s="374">
        <v>6</v>
      </c>
      <c r="H168" s="373">
        <f t="shared" si="4"/>
        <v>8.4880349362798277</v>
      </c>
      <c r="I168" s="373">
        <f t="shared" si="5"/>
        <v>8.8129829132783204</v>
      </c>
      <c r="J168" s="373">
        <f>'3. Parameters kostprijsmodel'!$F$36</f>
        <v>3.0089563425755728</v>
      </c>
      <c r="K168" s="361">
        <f>SUM(H168:H169)+J168</f>
        <v>14.137567307324149</v>
      </c>
      <c r="L168" s="362">
        <f>SUM(I168:I169)+J168</f>
        <v>14.462515284322642</v>
      </c>
    </row>
    <row r="169" spans="1:12" s="300" customFormat="1" ht="9" x14ac:dyDescent="0.15">
      <c r="A169" s="400" t="s">
        <v>133</v>
      </c>
      <c r="B169" s="400" t="s">
        <v>134</v>
      </c>
      <c r="C169" s="371" t="s">
        <v>27</v>
      </c>
      <c r="D169" s="372">
        <f>IF(C169='4. Beheertypen complexiteit'!$C$6,VLOOKUP('2. Kostprijs per beheertype'!A169,'4. Beheertypen complexiteit'!$A$8:$I$59,3,FALSE),IF(C169='4. Beheertypen complexiteit'!$D$6,VLOOKUP('2. Kostprijs per beheertype'!A169,'4. Beheertypen complexiteit'!$A$8:$I$59,4,FALSE),IF(C169='4. Beheertypen complexiteit'!$E$6,VLOOKUP('2. Kostprijs per beheertype'!A169,'4. Beheertypen complexiteit'!$A$8:$I$59,5,FALSE),IF(C169='4. Beheertypen complexiteit'!$F$6,VLOOKUP('2. Kostprijs per beheertype'!A169,'4. Beheertypen complexiteit'!$A$8:$I$59,6,FALSE),IF(C169='4. Beheertypen complexiteit'!$G$6,VLOOKUP('2. Kostprijs per beheertype'!A169,'4. Beheertypen complexiteit'!$A$8:$I$59,7,FALSE),IF(C169='4. Beheertypen complexiteit'!$H$6,VLOOKUP('2. Kostprijs per beheertype'!A169,'4. Beheertypen complexiteit'!$A$8:$I$59,8,FALSE),IF(C169='4. Beheertypen complexiteit'!$I$6,VLOOKUP('2. Kostprijs per beheertype'!A169,'4. Beheertypen complexiteit'!$A$8:$I$59,9,FALSE),"Nvt")))))))</f>
        <v>1</v>
      </c>
      <c r="E169" s="373">
        <f>IF(C169='1. Samenvatting'!$H$9,VLOOKUP('2. Kostprijs per beheertype'!D169,'1. Samenvatting'!$G$9:$N$15,2,FALSE),IF(C169='1. Samenvatting'!$I$9,VLOOKUP('2. Kostprijs per beheertype'!D169,'1. Samenvatting'!$G$9:$N$15,3),IF(C169='1. Samenvatting'!$J$9,VLOOKUP('2. Kostprijs per beheertype'!D169,'1. Samenvatting'!$G$9:$N$15,4),IF(C169='1. Samenvatting'!$K$9,VLOOKUP('2. Kostprijs per beheertype'!D169,'1. Samenvatting'!$G$9:$N$15,5),IF(C169='1. Samenvatting'!$L$9,VLOOKUP('2. Kostprijs per beheertype'!D169,'1. Samenvatting'!$G$9:$N$15,6),IF(C169='1. Samenvatting'!$M$9,VLOOKUP('2. Kostprijs per beheertype'!D169,'1. Samenvatting'!$G$9:$N$15,7),IF(C169='1. Samenvatting'!$N$9,VLOOKUP('2. Kostprijs per beheertype'!D169,'1. Samenvatting'!$G$9:$N$15,8),"Nvt")))))))</f>
        <v>31.686912341624982</v>
      </c>
      <c r="F169" s="373">
        <f>IF(C169='1. Samenvatting'!$H$9,VLOOKUP('2. Kostprijs per beheertype'!D169,'1. Samenvatting'!$G$16:$N$20,2,FALSE),IF(C169='1. Samenvatting'!$I$9,VLOOKUP('2. Kostprijs per beheertype'!D169,'1. Samenvatting'!$G$16:$N$20,3,FALSE),IF(C169='1. Samenvatting'!$J$9,VLOOKUP('2. Kostprijs per beheertype'!D169,'1. Samenvatting'!$G$16:$N$20,4,FALSE),IF(C169='1. Samenvatting'!$K$9,VLOOKUP('2. Kostprijs per beheertype'!D169,'1. Samenvatting'!$G$16:$N$20,5,FALSE),IF(C169='1. Samenvatting'!$L$9,VLOOKUP('2. Kostprijs per beheertype'!D169,'1. Samenvatting'!$G$16:$N$20,6,FALSE),IF(C169='1. Samenvatting'!$M$9,VLOOKUP('2. Kostprijs per beheertype'!D169,'1. Samenvatting'!$G$16:$N$20,7,FALSE),IF(C169='1. Samenvatting'!$N$9,VLOOKUP('2. Kostprijs per beheertype'!D169,'1. Samenvatting'!$G$16:$N$20,8,FALSE),"Nvt")))))))</f>
        <v>31.686912341624982</v>
      </c>
      <c r="G169" s="374">
        <v>12</v>
      </c>
      <c r="H169" s="373">
        <f t="shared" si="4"/>
        <v>2.6405760284687485</v>
      </c>
      <c r="I169" s="373">
        <f t="shared" si="5"/>
        <v>2.6405760284687485</v>
      </c>
      <c r="J169" s="373"/>
      <c r="K169" s="393"/>
      <c r="L169" s="394"/>
    </row>
    <row r="170" spans="1:12" s="300" customFormat="1" ht="9" x14ac:dyDescent="0.15">
      <c r="A170" s="398" t="s">
        <v>135</v>
      </c>
      <c r="B170" s="398" t="s">
        <v>136</v>
      </c>
      <c r="C170" s="365" t="s">
        <v>19</v>
      </c>
      <c r="D170" s="366" t="str">
        <f>IF(C170='4. Beheertypen complexiteit'!$C$6,VLOOKUP('2. Kostprijs per beheertype'!A170,'4. Beheertypen complexiteit'!$A$8:$I$59,3,FALSE),IF(C170='4. Beheertypen complexiteit'!$D$6,VLOOKUP('2. Kostprijs per beheertype'!A170,'4. Beheertypen complexiteit'!$A$8:$I$59,4,FALSE),IF(C170='4. Beheertypen complexiteit'!$E$6,VLOOKUP('2. Kostprijs per beheertype'!A170,'4. Beheertypen complexiteit'!$A$8:$I$59,5,FALSE),IF(C170='4. Beheertypen complexiteit'!$F$6,VLOOKUP('2. Kostprijs per beheertype'!A170,'4. Beheertypen complexiteit'!$A$8:$I$59,6,FALSE),IF(C170='4. Beheertypen complexiteit'!$G$6,VLOOKUP('2. Kostprijs per beheertype'!A170,'4. Beheertypen complexiteit'!$A$8:$I$59,7,FALSE),IF(C170='4. Beheertypen complexiteit'!$H$6,VLOOKUP('2. Kostprijs per beheertype'!A170,'4. Beheertypen complexiteit'!$A$8:$I$59,8,FALSE),IF(C170='4. Beheertypen complexiteit'!$I$6,VLOOKUP('2. Kostprijs per beheertype'!A170,'4. Beheertypen complexiteit'!$A$8:$I$59,9,FALSE),"Nvt")))))))</f>
        <v>Nvt</v>
      </c>
      <c r="E170" s="367" t="str">
        <f>IF(C170='1. Samenvatting'!$H$9,VLOOKUP('2. Kostprijs per beheertype'!D170,'1. Samenvatting'!$G$9:$N$15,2,FALSE),IF(C170='1. Samenvatting'!$I$9,VLOOKUP('2. Kostprijs per beheertype'!D170,'1. Samenvatting'!$G$9:$N$15,3),IF(C170='1. Samenvatting'!$J$9,VLOOKUP('2. Kostprijs per beheertype'!D170,'1. Samenvatting'!$G$9:$N$15,4),IF(C170='1. Samenvatting'!$K$9,VLOOKUP('2. Kostprijs per beheertype'!D170,'1. Samenvatting'!$G$9:$N$15,5),IF(C170='1. Samenvatting'!$L$9,VLOOKUP('2. Kostprijs per beheertype'!D170,'1. Samenvatting'!$G$9:$N$15,6),IF(C170='1. Samenvatting'!$M$9,VLOOKUP('2. Kostprijs per beheertype'!D170,'1. Samenvatting'!$G$9:$N$15,7),IF(C170='1. Samenvatting'!$N$9,VLOOKUP('2. Kostprijs per beheertype'!D170,'1. Samenvatting'!$G$9:$N$15,8),"Nvt")))))))</f>
        <v>Nvt</v>
      </c>
      <c r="F170" s="367" t="str">
        <f>IF(C170='1. Samenvatting'!$H$9,VLOOKUP('2. Kostprijs per beheertype'!D170,'1. Samenvatting'!$G$16:$N$20,2,FALSE),IF(C170='1. Samenvatting'!$I$9,VLOOKUP('2. Kostprijs per beheertype'!D170,'1. Samenvatting'!$G$16:$N$20,3,FALSE),IF(C170='1. Samenvatting'!$J$9,VLOOKUP('2. Kostprijs per beheertype'!D170,'1. Samenvatting'!$G$16:$N$20,4,FALSE),IF(C170='1. Samenvatting'!$K$9,VLOOKUP('2. Kostprijs per beheertype'!D170,'1. Samenvatting'!$G$16:$N$20,5,FALSE),IF(C170='1. Samenvatting'!$L$9,VLOOKUP('2. Kostprijs per beheertype'!D170,'1. Samenvatting'!$G$16:$N$20,6,FALSE),IF(C170='1. Samenvatting'!$M$9,VLOOKUP('2. Kostprijs per beheertype'!D170,'1. Samenvatting'!$G$16:$N$20,7,FALSE),IF(C170='1. Samenvatting'!$N$9,VLOOKUP('2. Kostprijs per beheertype'!D170,'1. Samenvatting'!$G$16:$N$20,8,FALSE),"Nvt")))))))</f>
        <v>Nvt</v>
      </c>
      <c r="G170" s="368">
        <v>6</v>
      </c>
      <c r="H170" s="367">
        <f t="shared" si="4"/>
        <v>0</v>
      </c>
      <c r="I170" s="367">
        <f t="shared" si="5"/>
        <v>0</v>
      </c>
      <c r="J170" s="367"/>
      <c r="K170" s="361">
        <f>SUM(H170:H171)</f>
        <v>0</v>
      </c>
      <c r="L170" s="362">
        <f>SUM(I170:I171)</f>
        <v>0</v>
      </c>
    </row>
    <row r="171" spans="1:12" s="300" customFormat="1" ht="9" x14ac:dyDescent="0.15">
      <c r="A171" s="401" t="s">
        <v>135</v>
      </c>
      <c r="B171" s="401" t="s">
        <v>136</v>
      </c>
      <c r="C171" s="425" t="s">
        <v>21</v>
      </c>
      <c r="D171" s="380" t="str">
        <f>IF(C171='4. Beheertypen complexiteit'!$C$6,VLOOKUP('2. Kostprijs per beheertype'!A171,'4. Beheertypen complexiteit'!$A$8:$I$59,3,FALSE),IF(C171='4. Beheertypen complexiteit'!$D$6,VLOOKUP('2. Kostprijs per beheertype'!A171,'4. Beheertypen complexiteit'!$A$8:$I$59,4,FALSE),IF(C171='4. Beheertypen complexiteit'!$E$6,VLOOKUP('2. Kostprijs per beheertype'!A171,'4. Beheertypen complexiteit'!$A$8:$I$59,5,FALSE),IF(C171='4. Beheertypen complexiteit'!$F$6,VLOOKUP('2. Kostprijs per beheertype'!A171,'4. Beheertypen complexiteit'!$A$8:$I$59,6,FALSE),IF(C171='4. Beheertypen complexiteit'!$G$6,VLOOKUP('2. Kostprijs per beheertype'!A171,'4. Beheertypen complexiteit'!$A$8:$I$59,7,FALSE),IF(C171='4. Beheertypen complexiteit'!$H$6,VLOOKUP('2. Kostprijs per beheertype'!A171,'4. Beheertypen complexiteit'!$A$8:$I$59,8,FALSE),IF(C171='4. Beheertypen complexiteit'!$I$6,VLOOKUP('2. Kostprijs per beheertype'!A171,'4. Beheertypen complexiteit'!$A$8:$I$59,9,FALSE),"Nvt")))))))</f>
        <v>Nvt</v>
      </c>
      <c r="E171" s="381" t="str">
        <f>IF(C171='1. Samenvatting'!$H$9,VLOOKUP('2. Kostprijs per beheertype'!D171,'1. Samenvatting'!$G$9:$N$15,2,FALSE),IF(C171='1. Samenvatting'!$I$9,VLOOKUP('2. Kostprijs per beheertype'!D171,'1. Samenvatting'!$G$9:$N$15,3),IF(C171='1. Samenvatting'!$J$9,VLOOKUP('2. Kostprijs per beheertype'!D171,'1. Samenvatting'!$G$9:$N$15,4),IF(C171='1. Samenvatting'!$K$9,VLOOKUP('2. Kostprijs per beheertype'!D171,'1. Samenvatting'!$G$9:$N$15,5),IF(C171='1. Samenvatting'!$L$9,VLOOKUP('2. Kostprijs per beheertype'!D171,'1. Samenvatting'!$G$9:$N$15,6),IF(C171='1. Samenvatting'!$M$9,VLOOKUP('2. Kostprijs per beheertype'!D171,'1. Samenvatting'!$G$9:$N$15,7),IF(C171='1. Samenvatting'!$N$9,VLOOKUP('2. Kostprijs per beheertype'!D171,'1. Samenvatting'!$G$9:$N$15,8),"Nvt")))))))</f>
        <v>Nvt</v>
      </c>
      <c r="F171" s="381" t="str">
        <f>IF(C171='1. Samenvatting'!$H$9,VLOOKUP('2. Kostprijs per beheertype'!D171,'1. Samenvatting'!$G$16:$N$20,2,FALSE),IF(C171='1. Samenvatting'!$I$9,VLOOKUP('2. Kostprijs per beheertype'!D171,'1. Samenvatting'!$G$16:$N$20,3,FALSE),IF(C171='1. Samenvatting'!$J$9,VLOOKUP('2. Kostprijs per beheertype'!D171,'1. Samenvatting'!$G$16:$N$20,4,FALSE),IF(C171='1. Samenvatting'!$K$9,VLOOKUP('2. Kostprijs per beheertype'!D171,'1. Samenvatting'!$G$16:$N$20,5,FALSE),IF(C171='1. Samenvatting'!$L$9,VLOOKUP('2. Kostprijs per beheertype'!D171,'1. Samenvatting'!$G$16:$N$20,6,FALSE),IF(C171='1. Samenvatting'!$M$9,VLOOKUP('2. Kostprijs per beheertype'!D171,'1. Samenvatting'!$G$16:$N$20,7,FALSE),IF(C171='1. Samenvatting'!$N$9,VLOOKUP('2. Kostprijs per beheertype'!D171,'1. Samenvatting'!$G$16:$N$20,8,FALSE),"Nvt")))))))</f>
        <v>Nvt</v>
      </c>
      <c r="G171" s="382">
        <v>6</v>
      </c>
      <c r="H171" s="381">
        <f t="shared" si="4"/>
        <v>0</v>
      </c>
      <c r="I171" s="381">
        <f t="shared" si="5"/>
        <v>0</v>
      </c>
      <c r="J171" s="381"/>
      <c r="K171" s="396"/>
      <c r="L171" s="397"/>
    </row>
    <row r="172" spans="1:12" s="300" customFormat="1" ht="9" x14ac:dyDescent="0.15">
      <c r="A172" s="334" t="s">
        <v>137</v>
      </c>
      <c r="B172" s="334" t="s">
        <v>138</v>
      </c>
      <c r="C172" s="371" t="s">
        <v>21</v>
      </c>
      <c r="D172" s="372">
        <f>IF(C172='4. Beheertypen complexiteit'!$C$6,VLOOKUP('2. Kostprijs per beheertype'!A172,'4. Beheertypen complexiteit'!$A$8:$I$59,3,FALSE),IF(C172='4. Beheertypen complexiteit'!$D$6,VLOOKUP('2. Kostprijs per beheertype'!A172,'4. Beheertypen complexiteit'!$A$8:$I$59,4,FALSE),IF(C172='4. Beheertypen complexiteit'!$E$6,VLOOKUP('2. Kostprijs per beheertype'!A172,'4. Beheertypen complexiteit'!$A$8:$I$59,5,FALSE),IF(C172='4. Beheertypen complexiteit'!$F$6,VLOOKUP('2. Kostprijs per beheertype'!A172,'4. Beheertypen complexiteit'!$A$8:$I$59,6,FALSE),IF(C172='4. Beheertypen complexiteit'!$G$6,VLOOKUP('2. Kostprijs per beheertype'!A172,'4. Beheertypen complexiteit'!$A$8:$I$59,7,FALSE),IF(C172='4. Beheertypen complexiteit'!$H$6,VLOOKUP('2. Kostprijs per beheertype'!A172,'4. Beheertypen complexiteit'!$A$8:$I$59,8,FALSE),IF(C172='4. Beheertypen complexiteit'!$I$6,VLOOKUP('2. Kostprijs per beheertype'!A172,'4. Beheertypen complexiteit'!$A$8:$I$59,9,FALSE),"Nvt")))))))</f>
        <v>1</v>
      </c>
      <c r="E172" s="373">
        <f>IF(C172='1. Samenvatting'!$H$9,VLOOKUP('2. Kostprijs per beheertype'!D172,'1. Samenvatting'!$G$9:$N$15,2,FALSE),IF(C172='1. Samenvatting'!$I$9,VLOOKUP('2. Kostprijs per beheertype'!D172,'1. Samenvatting'!$G$9:$N$15,3),IF(C172='1. Samenvatting'!$J$9,VLOOKUP('2. Kostprijs per beheertype'!D172,'1. Samenvatting'!$G$9:$N$15,4),IF(C172='1. Samenvatting'!$K$9,VLOOKUP('2. Kostprijs per beheertype'!D172,'1. Samenvatting'!$G$9:$N$15,5),IF(C172='1. Samenvatting'!$L$9,VLOOKUP('2. Kostprijs per beheertype'!D172,'1. Samenvatting'!$G$9:$N$15,6),IF(C172='1. Samenvatting'!$M$9,VLOOKUP('2. Kostprijs per beheertype'!D172,'1. Samenvatting'!$G$9:$N$15,7),IF(C172='1. Samenvatting'!$N$9,VLOOKUP('2. Kostprijs per beheertype'!D172,'1. Samenvatting'!$G$9:$N$15,8),"Nvt")))))))</f>
        <v>50.928209617678966</v>
      </c>
      <c r="F172" s="373">
        <f>IF(C172='1. Samenvatting'!$H$9,VLOOKUP('2. Kostprijs per beheertype'!D172,'1. Samenvatting'!$G$16:$N$20,2,FALSE),IF(C172='1. Samenvatting'!$I$9,VLOOKUP('2. Kostprijs per beheertype'!D172,'1. Samenvatting'!$G$16:$N$20,3,FALSE),IF(C172='1. Samenvatting'!$J$9,VLOOKUP('2. Kostprijs per beheertype'!D172,'1. Samenvatting'!$G$16:$N$20,4,FALSE),IF(C172='1. Samenvatting'!$K$9,VLOOKUP('2. Kostprijs per beheertype'!D172,'1. Samenvatting'!$G$16:$N$20,5,FALSE),IF(C172='1. Samenvatting'!$L$9,VLOOKUP('2. Kostprijs per beheertype'!D172,'1. Samenvatting'!$G$16:$N$20,6,FALSE),IF(C172='1. Samenvatting'!$M$9,VLOOKUP('2. Kostprijs per beheertype'!D172,'1. Samenvatting'!$G$16:$N$20,7,FALSE),IF(C172='1. Samenvatting'!$N$9,VLOOKUP('2. Kostprijs per beheertype'!D172,'1. Samenvatting'!$G$16:$N$20,8,FALSE),"Nvt")))))))</f>
        <v>52.877897479669919</v>
      </c>
      <c r="G172" s="374">
        <v>6</v>
      </c>
      <c r="H172" s="373">
        <f t="shared" si="4"/>
        <v>8.4880349362798277</v>
      </c>
      <c r="I172" s="373">
        <f t="shared" si="5"/>
        <v>8.8129829132783204</v>
      </c>
      <c r="J172" s="373">
        <f>'3. Parameters kostprijsmodel'!$F$36</f>
        <v>3.0089563425755728</v>
      </c>
      <c r="K172" s="361">
        <f>H172+$J$172</f>
        <v>11.496991278855401</v>
      </c>
      <c r="L172" s="362">
        <f>I172+$J$172</f>
        <v>11.821939255853893</v>
      </c>
    </row>
    <row r="173" spans="1:12" s="300" customFormat="1" ht="9" x14ac:dyDescent="0.15">
      <c r="A173" s="426" t="s">
        <v>139</v>
      </c>
      <c r="B173" s="426" t="s">
        <v>140</v>
      </c>
      <c r="C173" s="357" t="s">
        <v>21</v>
      </c>
      <c r="D173" s="358">
        <f>IF(C173='4. Beheertypen complexiteit'!$C$6,VLOOKUP('2. Kostprijs per beheertype'!A173,'4. Beheertypen complexiteit'!$A$8:$I$59,3,FALSE),IF(C173='4. Beheertypen complexiteit'!$D$6,VLOOKUP('2. Kostprijs per beheertype'!A173,'4. Beheertypen complexiteit'!$A$8:$I$59,4,FALSE),IF(C173='4. Beheertypen complexiteit'!$E$6,VLOOKUP('2. Kostprijs per beheertype'!A173,'4. Beheertypen complexiteit'!$A$8:$I$59,5,FALSE),IF(C173='4. Beheertypen complexiteit'!$F$6,VLOOKUP('2. Kostprijs per beheertype'!A173,'4. Beheertypen complexiteit'!$A$8:$I$59,6,FALSE),IF(C173='4. Beheertypen complexiteit'!$G$6,VLOOKUP('2. Kostprijs per beheertype'!A173,'4. Beheertypen complexiteit'!$A$8:$I$59,7,FALSE),IF(C173='4. Beheertypen complexiteit'!$H$6,VLOOKUP('2. Kostprijs per beheertype'!A173,'4. Beheertypen complexiteit'!$A$8:$I$59,8,FALSE),IF(C173='4. Beheertypen complexiteit'!$I$6,VLOOKUP('2. Kostprijs per beheertype'!A173,'4. Beheertypen complexiteit'!$A$8:$I$59,9,FALSE),"Nvt")))))))</f>
        <v>1</v>
      </c>
      <c r="E173" s="359">
        <f>IF(C173='1. Samenvatting'!$H$9,VLOOKUP('2. Kostprijs per beheertype'!D173,'1. Samenvatting'!$G$9:$N$15,2,FALSE),IF(C173='1. Samenvatting'!$I$9,VLOOKUP('2. Kostprijs per beheertype'!D173,'1. Samenvatting'!$G$9:$N$15,3),IF(C173='1. Samenvatting'!$J$9,VLOOKUP('2. Kostprijs per beheertype'!D173,'1. Samenvatting'!$G$9:$N$15,4),IF(C173='1. Samenvatting'!$K$9,VLOOKUP('2. Kostprijs per beheertype'!D173,'1. Samenvatting'!$G$9:$N$15,5),IF(C173='1. Samenvatting'!$L$9,VLOOKUP('2. Kostprijs per beheertype'!D173,'1. Samenvatting'!$G$9:$N$15,6),IF(C173='1. Samenvatting'!$M$9,VLOOKUP('2. Kostprijs per beheertype'!D173,'1. Samenvatting'!$G$9:$N$15,7),IF(C173='1. Samenvatting'!$N$9,VLOOKUP('2. Kostprijs per beheertype'!D173,'1. Samenvatting'!$G$9:$N$15,8),"Nvt")))))))</f>
        <v>50.928209617678966</v>
      </c>
      <c r="F173" s="359">
        <f>IF(C173='1. Samenvatting'!$H$9,VLOOKUP('2. Kostprijs per beheertype'!D173,'1. Samenvatting'!$G$16:$N$20,2,FALSE),IF(C173='1. Samenvatting'!$I$9,VLOOKUP('2. Kostprijs per beheertype'!D173,'1. Samenvatting'!$G$16:$N$20,3,FALSE),IF(C173='1. Samenvatting'!$J$9,VLOOKUP('2. Kostprijs per beheertype'!D173,'1. Samenvatting'!$G$16:$N$20,4,FALSE),IF(C173='1. Samenvatting'!$K$9,VLOOKUP('2. Kostprijs per beheertype'!D173,'1. Samenvatting'!$G$16:$N$20,5,FALSE),IF(C173='1. Samenvatting'!$L$9,VLOOKUP('2. Kostprijs per beheertype'!D173,'1. Samenvatting'!$G$16:$N$20,6,FALSE),IF(C173='1. Samenvatting'!$M$9,VLOOKUP('2. Kostprijs per beheertype'!D173,'1. Samenvatting'!$G$16:$N$20,7,FALSE),IF(C173='1. Samenvatting'!$N$9,VLOOKUP('2. Kostprijs per beheertype'!D173,'1. Samenvatting'!$G$16:$N$20,8,FALSE),"Nvt")))))))</f>
        <v>52.877897479669919</v>
      </c>
      <c r="G173" s="360">
        <v>6</v>
      </c>
      <c r="H173" s="359">
        <f t="shared" si="4"/>
        <v>8.4880349362798277</v>
      </c>
      <c r="I173" s="359">
        <f t="shared" si="5"/>
        <v>8.8129829132783204</v>
      </c>
      <c r="J173" s="359">
        <f>'3. Parameters kostprijsmodel'!$F$36</f>
        <v>3.0089563425755728</v>
      </c>
      <c r="K173" s="361">
        <f>H173+$J$173</f>
        <v>11.496991278855401</v>
      </c>
      <c r="L173" s="362">
        <f>I173+$J$173</f>
        <v>11.821939255853893</v>
      </c>
    </row>
    <row r="174" spans="1:12" s="300" customFormat="1" ht="9" x14ac:dyDescent="0.15">
      <c r="A174" s="334" t="s">
        <v>141</v>
      </c>
      <c r="B174" s="334" t="s">
        <v>142</v>
      </c>
      <c r="C174" s="371"/>
      <c r="D174" s="372" t="str">
        <f>IF(C174='4. Beheertypen complexiteit'!$C$6,VLOOKUP('2. Kostprijs per beheertype'!A174,'4. Beheertypen complexiteit'!$A$8:$I$59,3,FALSE),IF(C174='4. Beheertypen complexiteit'!$D$6,VLOOKUP('2. Kostprijs per beheertype'!A174,'4. Beheertypen complexiteit'!$A$8:$I$59,4,FALSE),IF(C174='4. Beheertypen complexiteit'!$E$6,VLOOKUP('2. Kostprijs per beheertype'!A174,'4. Beheertypen complexiteit'!$A$8:$I$59,5,FALSE),IF(C174='4. Beheertypen complexiteit'!$F$6,VLOOKUP('2. Kostprijs per beheertype'!A174,'4. Beheertypen complexiteit'!$A$8:$I$59,6,FALSE),IF(C174='4. Beheertypen complexiteit'!$G$6,VLOOKUP('2. Kostprijs per beheertype'!A174,'4. Beheertypen complexiteit'!$A$8:$I$59,7,FALSE),IF(C174='4. Beheertypen complexiteit'!$H$6,VLOOKUP('2. Kostprijs per beheertype'!A174,'4. Beheertypen complexiteit'!$A$8:$I$59,8,FALSE),IF(C174='4. Beheertypen complexiteit'!$I$6,VLOOKUP('2. Kostprijs per beheertype'!A174,'4. Beheertypen complexiteit'!$A$8:$I$59,9,FALSE),"Nvt")))))))</f>
        <v>Nvt</v>
      </c>
      <c r="E174" s="373" t="str">
        <f>IF(C174='1. Samenvatting'!$H$9,VLOOKUP('2. Kostprijs per beheertype'!D174,'1. Samenvatting'!$G$9:$N$15,2,FALSE),IF(C174='1. Samenvatting'!$I$9,VLOOKUP('2. Kostprijs per beheertype'!D174,'1. Samenvatting'!$G$9:$N$15,3),IF(C174='1. Samenvatting'!$J$9,VLOOKUP('2. Kostprijs per beheertype'!D174,'1. Samenvatting'!$G$9:$N$15,4),IF(C174='1. Samenvatting'!$K$9,VLOOKUP('2. Kostprijs per beheertype'!D174,'1. Samenvatting'!$G$9:$N$15,5),IF(C174='1. Samenvatting'!$L$9,VLOOKUP('2. Kostprijs per beheertype'!D174,'1. Samenvatting'!$G$9:$N$15,6),IF(C174='1. Samenvatting'!$M$9,VLOOKUP('2. Kostprijs per beheertype'!D174,'1. Samenvatting'!$G$9:$N$15,7),IF(C174='1. Samenvatting'!$N$9,VLOOKUP('2. Kostprijs per beheertype'!D174,'1. Samenvatting'!$G$9:$N$15,8),"Nvt")))))))</f>
        <v>Nvt</v>
      </c>
      <c r="F174" s="373" t="str">
        <f>IF(C174='1. Samenvatting'!$H$9,VLOOKUP('2. Kostprijs per beheertype'!D174,'1. Samenvatting'!$G$16:$N$20,2,FALSE),IF(C174='1. Samenvatting'!$I$9,VLOOKUP('2. Kostprijs per beheertype'!D174,'1. Samenvatting'!$G$16:$N$20,3,FALSE),IF(C174='1. Samenvatting'!$J$9,VLOOKUP('2. Kostprijs per beheertype'!D174,'1. Samenvatting'!$G$16:$N$20,4,FALSE),IF(C174='1. Samenvatting'!$K$9,VLOOKUP('2. Kostprijs per beheertype'!D174,'1. Samenvatting'!$G$16:$N$20,5,FALSE),IF(C174='1. Samenvatting'!$L$9,VLOOKUP('2. Kostprijs per beheertype'!D174,'1. Samenvatting'!$G$16:$N$20,6,FALSE),IF(C174='1. Samenvatting'!$M$9,VLOOKUP('2. Kostprijs per beheertype'!D174,'1. Samenvatting'!$G$16:$N$20,7,FALSE),IF(C174='1. Samenvatting'!$N$9,VLOOKUP('2. Kostprijs per beheertype'!D174,'1. Samenvatting'!$G$16:$N$20,8,FALSE),"Nvt")))))))</f>
        <v>Nvt</v>
      </c>
      <c r="G174" s="417" t="s">
        <v>41</v>
      </c>
      <c r="H174" s="416">
        <f t="shared" si="4"/>
        <v>0</v>
      </c>
      <c r="I174" s="416">
        <f t="shared" si="5"/>
        <v>0</v>
      </c>
      <c r="J174" s="416"/>
      <c r="K174" s="430">
        <f>H174</f>
        <v>0</v>
      </c>
      <c r="L174" s="431">
        <f>I174</f>
        <v>0</v>
      </c>
    </row>
    <row r="175" spans="1:12" s="300" customFormat="1" ht="9" x14ac:dyDescent="0.15">
      <c r="A175" s="398" t="s">
        <v>143</v>
      </c>
      <c r="B175" s="398" t="s">
        <v>144</v>
      </c>
      <c r="C175" s="365" t="s">
        <v>19</v>
      </c>
      <c r="D175" s="366">
        <f>IF(C175='4. Beheertypen complexiteit'!$C$6,VLOOKUP('2. Kostprijs per beheertype'!A175,'4. Beheertypen complexiteit'!$A$8:$I$59,3,FALSE),IF(C175='4. Beheertypen complexiteit'!$D$6,VLOOKUP('2. Kostprijs per beheertype'!A175,'4. Beheertypen complexiteit'!$A$8:$I$59,4,FALSE),IF(C175='4. Beheertypen complexiteit'!$E$6,VLOOKUP('2. Kostprijs per beheertype'!A175,'4. Beheertypen complexiteit'!$A$8:$I$59,5,FALSE),IF(C175='4. Beheertypen complexiteit'!$F$6,VLOOKUP('2. Kostprijs per beheertype'!A175,'4. Beheertypen complexiteit'!$A$8:$I$59,6,FALSE),IF(C175='4. Beheertypen complexiteit'!$G$6,VLOOKUP('2. Kostprijs per beheertype'!A175,'4. Beheertypen complexiteit'!$A$8:$I$59,7,FALSE),IF(C175='4. Beheertypen complexiteit'!$H$6,VLOOKUP('2. Kostprijs per beheertype'!A175,'4. Beheertypen complexiteit'!$A$8:$I$59,8,FALSE),IF(C175='4. Beheertypen complexiteit'!$I$6,VLOOKUP('2. Kostprijs per beheertype'!A175,'4. Beheertypen complexiteit'!$A$8:$I$59,9,FALSE),"Nvt")))))))</f>
        <v>1</v>
      </c>
      <c r="E175" s="367">
        <f>IF(C175='1. Samenvatting'!$H$9,VLOOKUP('2. Kostprijs per beheertype'!D175,'1. Samenvatting'!$G$9:$N$15,2,FALSE),IF(C175='1. Samenvatting'!$I$9,VLOOKUP('2. Kostprijs per beheertype'!D175,'1. Samenvatting'!$G$9:$N$15,3),IF(C175='1. Samenvatting'!$J$9,VLOOKUP('2. Kostprijs per beheertype'!D175,'1. Samenvatting'!$G$9:$N$15,4),IF(C175='1. Samenvatting'!$K$9,VLOOKUP('2. Kostprijs per beheertype'!D175,'1. Samenvatting'!$G$9:$N$15,5),IF(C175='1. Samenvatting'!$L$9,VLOOKUP('2. Kostprijs per beheertype'!D175,'1. Samenvatting'!$G$9:$N$15,6),IF(C175='1. Samenvatting'!$M$9,VLOOKUP('2. Kostprijs per beheertype'!D175,'1. Samenvatting'!$G$9:$N$15,7),IF(C175='1. Samenvatting'!$N$9,VLOOKUP('2. Kostprijs per beheertype'!D175,'1. Samenvatting'!$G$9:$N$15,8),"Nvt")))))))</f>
        <v>92.159399805164711</v>
      </c>
      <c r="F175" s="367">
        <f>IF(C175='1. Samenvatting'!$H$9,VLOOKUP('2. Kostprijs per beheertype'!D175,'1. Samenvatting'!$G$16:$N$20,2,FALSE),IF(C175='1. Samenvatting'!$I$9,VLOOKUP('2. Kostprijs per beheertype'!D175,'1. Samenvatting'!$G$16:$N$20,3,FALSE),IF(C175='1. Samenvatting'!$J$9,VLOOKUP('2. Kostprijs per beheertype'!D175,'1. Samenvatting'!$G$16:$N$20,4,FALSE),IF(C175='1. Samenvatting'!$K$9,VLOOKUP('2. Kostprijs per beheertype'!D175,'1. Samenvatting'!$G$16:$N$20,5,FALSE),IF(C175='1. Samenvatting'!$L$9,VLOOKUP('2. Kostprijs per beheertype'!D175,'1. Samenvatting'!$G$16:$N$20,6,FALSE),IF(C175='1. Samenvatting'!$M$9,VLOOKUP('2. Kostprijs per beheertype'!D175,'1. Samenvatting'!$G$16:$N$20,7,FALSE),IF(C175='1. Samenvatting'!$N$9,VLOOKUP('2. Kostprijs per beheertype'!D175,'1. Samenvatting'!$G$16:$N$20,8,FALSE),"Nvt")))))))</f>
        <v>112.82583216627582</v>
      </c>
      <c r="G175" s="368">
        <v>6</v>
      </c>
      <c r="H175" s="367">
        <f t="shared" si="4"/>
        <v>15.359899967527452</v>
      </c>
      <c r="I175" s="367">
        <f t="shared" si="5"/>
        <v>18.804305361045969</v>
      </c>
      <c r="J175" s="367">
        <f>'3. Parameters kostprijsmodel'!$F$36</f>
        <v>3.0089563425755728</v>
      </c>
      <c r="K175" s="361">
        <f>SUM(H175:H176)+J175</f>
        <v>26.856891246382851</v>
      </c>
      <c r="L175" s="362">
        <f>SUM(I175:I176)+J175</f>
        <v>30.626244616899861</v>
      </c>
    </row>
    <row r="176" spans="1:12" s="300" customFormat="1" ht="9" x14ac:dyDescent="0.15">
      <c r="A176" s="401" t="s">
        <v>143</v>
      </c>
      <c r="B176" s="401" t="s">
        <v>144</v>
      </c>
      <c r="C176" s="425" t="s">
        <v>21</v>
      </c>
      <c r="D176" s="380">
        <f>IF(C176='4. Beheertypen complexiteit'!$C$6,VLOOKUP('2. Kostprijs per beheertype'!A176,'4. Beheertypen complexiteit'!$A$8:$I$59,3,FALSE),IF(C176='4. Beheertypen complexiteit'!$D$6,VLOOKUP('2. Kostprijs per beheertype'!A176,'4. Beheertypen complexiteit'!$A$8:$I$59,4,FALSE),IF(C176='4. Beheertypen complexiteit'!$E$6,VLOOKUP('2. Kostprijs per beheertype'!A176,'4. Beheertypen complexiteit'!$A$8:$I$59,5,FALSE),IF(C176='4. Beheertypen complexiteit'!$F$6,VLOOKUP('2. Kostprijs per beheertype'!A176,'4. Beheertypen complexiteit'!$A$8:$I$59,6,FALSE),IF(C176='4. Beheertypen complexiteit'!$G$6,VLOOKUP('2. Kostprijs per beheertype'!A176,'4. Beheertypen complexiteit'!$A$8:$I$59,7,FALSE),IF(C176='4. Beheertypen complexiteit'!$H$6,VLOOKUP('2. Kostprijs per beheertype'!A176,'4. Beheertypen complexiteit'!$A$8:$I$59,8,FALSE),IF(C176='4. Beheertypen complexiteit'!$I$6,VLOOKUP('2. Kostprijs per beheertype'!A176,'4. Beheertypen complexiteit'!$A$8:$I$59,9,FALSE),"Nvt")))))))</f>
        <v>1</v>
      </c>
      <c r="E176" s="381">
        <f>IF(C176='1. Samenvatting'!$H$9,VLOOKUP('2. Kostprijs per beheertype'!D176,'1. Samenvatting'!$G$9:$N$15,2,FALSE),IF(C176='1. Samenvatting'!$I$9,VLOOKUP('2. Kostprijs per beheertype'!D176,'1. Samenvatting'!$G$9:$N$15,3),IF(C176='1. Samenvatting'!$J$9,VLOOKUP('2. Kostprijs per beheertype'!D176,'1. Samenvatting'!$G$9:$N$15,4),IF(C176='1. Samenvatting'!$K$9,VLOOKUP('2. Kostprijs per beheertype'!D176,'1. Samenvatting'!$G$9:$N$15,5),IF(C176='1. Samenvatting'!$L$9,VLOOKUP('2. Kostprijs per beheertype'!D176,'1. Samenvatting'!$G$9:$N$15,6),IF(C176='1. Samenvatting'!$M$9,VLOOKUP('2. Kostprijs per beheertype'!D176,'1. Samenvatting'!$G$9:$N$15,7),IF(C176='1. Samenvatting'!$N$9,VLOOKUP('2. Kostprijs per beheertype'!D176,'1. Samenvatting'!$G$9:$N$15,8),"Nvt")))))))</f>
        <v>50.928209617678966</v>
      </c>
      <c r="F176" s="381">
        <f>IF(C176='1. Samenvatting'!$H$9,VLOOKUP('2. Kostprijs per beheertype'!D176,'1. Samenvatting'!$G$16:$N$20,2,FALSE),IF(C176='1. Samenvatting'!$I$9,VLOOKUP('2. Kostprijs per beheertype'!D176,'1. Samenvatting'!$G$16:$N$20,3,FALSE),IF(C176='1. Samenvatting'!$J$9,VLOOKUP('2. Kostprijs per beheertype'!D176,'1. Samenvatting'!$G$16:$N$20,4,FALSE),IF(C176='1. Samenvatting'!$K$9,VLOOKUP('2. Kostprijs per beheertype'!D176,'1. Samenvatting'!$G$16:$N$20,5,FALSE),IF(C176='1. Samenvatting'!$L$9,VLOOKUP('2. Kostprijs per beheertype'!D176,'1. Samenvatting'!$G$16:$N$20,6,FALSE),IF(C176='1. Samenvatting'!$M$9,VLOOKUP('2. Kostprijs per beheertype'!D176,'1. Samenvatting'!$G$16:$N$20,7,FALSE),IF(C176='1. Samenvatting'!$N$9,VLOOKUP('2. Kostprijs per beheertype'!D176,'1. Samenvatting'!$G$16:$N$20,8,FALSE),"Nvt")))))))</f>
        <v>52.877897479669919</v>
      </c>
      <c r="G176" s="382">
        <v>6</v>
      </c>
      <c r="H176" s="381">
        <f t="shared" si="4"/>
        <v>8.4880349362798277</v>
      </c>
      <c r="I176" s="381">
        <f t="shared" si="5"/>
        <v>8.8129829132783204</v>
      </c>
      <c r="J176" s="381"/>
      <c r="K176" s="396"/>
      <c r="L176" s="397"/>
    </row>
    <row r="177" spans="1:12" s="300" customFormat="1" ht="9" x14ac:dyDescent="0.15">
      <c r="A177" s="398" t="s">
        <v>145</v>
      </c>
      <c r="B177" s="398" t="s">
        <v>146</v>
      </c>
      <c r="C177" s="365" t="s">
        <v>19</v>
      </c>
      <c r="D177" s="366">
        <f>IF(C177='4. Beheertypen complexiteit'!$C$6,VLOOKUP('2. Kostprijs per beheertype'!A177,'4. Beheertypen complexiteit'!$A$8:$I$59,3,FALSE),IF(C177='4. Beheertypen complexiteit'!$D$6,VLOOKUP('2. Kostprijs per beheertype'!A177,'4. Beheertypen complexiteit'!$A$8:$I$59,4,FALSE),IF(C177='4. Beheertypen complexiteit'!$E$6,VLOOKUP('2. Kostprijs per beheertype'!A177,'4. Beheertypen complexiteit'!$A$8:$I$59,5,FALSE),IF(C177='4. Beheertypen complexiteit'!$F$6,VLOOKUP('2. Kostprijs per beheertype'!A177,'4. Beheertypen complexiteit'!$A$8:$I$59,6,FALSE),IF(C177='4. Beheertypen complexiteit'!$G$6,VLOOKUP('2. Kostprijs per beheertype'!A177,'4. Beheertypen complexiteit'!$A$8:$I$59,7,FALSE),IF(C177='4. Beheertypen complexiteit'!$H$6,VLOOKUP('2. Kostprijs per beheertype'!A177,'4. Beheertypen complexiteit'!$A$8:$I$59,8,FALSE),IF(C177='4. Beheertypen complexiteit'!$I$6,VLOOKUP('2. Kostprijs per beheertype'!A177,'4. Beheertypen complexiteit'!$A$8:$I$59,9,FALSE),"Nvt")))))))</f>
        <v>1</v>
      </c>
      <c r="E177" s="367">
        <f>IF(C177='1. Samenvatting'!$H$9,VLOOKUP('2. Kostprijs per beheertype'!D177,'1. Samenvatting'!$G$9:$N$15,2,FALSE),IF(C177='1. Samenvatting'!$I$9,VLOOKUP('2. Kostprijs per beheertype'!D177,'1. Samenvatting'!$G$9:$N$15,3),IF(C177='1. Samenvatting'!$J$9,VLOOKUP('2. Kostprijs per beheertype'!D177,'1. Samenvatting'!$G$9:$N$15,4),IF(C177='1. Samenvatting'!$K$9,VLOOKUP('2. Kostprijs per beheertype'!D177,'1. Samenvatting'!$G$9:$N$15,5),IF(C177='1. Samenvatting'!$L$9,VLOOKUP('2. Kostprijs per beheertype'!D177,'1. Samenvatting'!$G$9:$N$15,6),IF(C177='1. Samenvatting'!$M$9,VLOOKUP('2. Kostprijs per beheertype'!D177,'1. Samenvatting'!$G$9:$N$15,7),IF(C177='1. Samenvatting'!$N$9,VLOOKUP('2. Kostprijs per beheertype'!D177,'1. Samenvatting'!$G$9:$N$15,8),"Nvt")))))))</f>
        <v>92.159399805164711</v>
      </c>
      <c r="F177" s="367">
        <f>IF(C177='1. Samenvatting'!$H$9,VLOOKUP('2. Kostprijs per beheertype'!D177,'1. Samenvatting'!$G$16:$N$20,2,FALSE),IF(C177='1. Samenvatting'!$I$9,VLOOKUP('2. Kostprijs per beheertype'!D177,'1. Samenvatting'!$G$16:$N$20,3,FALSE),IF(C177='1. Samenvatting'!$J$9,VLOOKUP('2. Kostprijs per beheertype'!D177,'1. Samenvatting'!$G$16:$N$20,4,FALSE),IF(C177='1. Samenvatting'!$K$9,VLOOKUP('2. Kostprijs per beheertype'!D177,'1. Samenvatting'!$G$16:$N$20,5,FALSE),IF(C177='1. Samenvatting'!$L$9,VLOOKUP('2. Kostprijs per beheertype'!D177,'1. Samenvatting'!$G$16:$N$20,6,FALSE),IF(C177='1. Samenvatting'!$M$9,VLOOKUP('2. Kostprijs per beheertype'!D177,'1. Samenvatting'!$G$16:$N$20,7,FALSE),IF(C177='1. Samenvatting'!$N$9,VLOOKUP('2. Kostprijs per beheertype'!D177,'1. Samenvatting'!$G$16:$N$20,8,FALSE),"Nvt")))))))</f>
        <v>112.82583216627582</v>
      </c>
      <c r="G177" s="368">
        <v>6</v>
      </c>
      <c r="H177" s="367">
        <f t="shared" si="4"/>
        <v>15.359899967527452</v>
      </c>
      <c r="I177" s="367">
        <f t="shared" si="5"/>
        <v>18.804305361045969</v>
      </c>
      <c r="J177" s="367">
        <f>'3. Parameters kostprijsmodel'!$F$36</f>
        <v>3.0089563425755728</v>
      </c>
      <c r="K177" s="361">
        <f>SUM(H177:H178)+J177</f>
        <v>26.856891246382851</v>
      </c>
      <c r="L177" s="362">
        <f>SUM(I177:I178)+J177</f>
        <v>30.626244616899861</v>
      </c>
    </row>
    <row r="178" spans="1:12" s="300" customFormat="1" ht="9" x14ac:dyDescent="0.15">
      <c r="A178" s="401" t="s">
        <v>145</v>
      </c>
      <c r="B178" s="401" t="s">
        <v>146</v>
      </c>
      <c r="C178" s="425" t="s">
        <v>21</v>
      </c>
      <c r="D178" s="380">
        <f>IF(C178='4. Beheertypen complexiteit'!$C$6,VLOOKUP('2. Kostprijs per beheertype'!A178,'4. Beheertypen complexiteit'!$A$8:$I$59,3,FALSE),IF(C178='4. Beheertypen complexiteit'!$D$6,VLOOKUP('2. Kostprijs per beheertype'!A178,'4. Beheertypen complexiteit'!$A$8:$I$59,4,FALSE),IF(C178='4. Beheertypen complexiteit'!$E$6,VLOOKUP('2. Kostprijs per beheertype'!A178,'4. Beheertypen complexiteit'!$A$8:$I$59,5,FALSE),IF(C178='4. Beheertypen complexiteit'!$F$6,VLOOKUP('2. Kostprijs per beheertype'!A178,'4. Beheertypen complexiteit'!$A$8:$I$59,6,FALSE),IF(C178='4. Beheertypen complexiteit'!$G$6,VLOOKUP('2. Kostprijs per beheertype'!A178,'4. Beheertypen complexiteit'!$A$8:$I$59,7,FALSE),IF(C178='4. Beheertypen complexiteit'!$H$6,VLOOKUP('2. Kostprijs per beheertype'!A178,'4. Beheertypen complexiteit'!$A$8:$I$59,8,FALSE),IF(C178='4. Beheertypen complexiteit'!$I$6,VLOOKUP('2. Kostprijs per beheertype'!A178,'4. Beheertypen complexiteit'!$A$8:$I$59,9,FALSE),"Nvt")))))))</f>
        <v>1</v>
      </c>
      <c r="E178" s="381">
        <f>IF(C178='1. Samenvatting'!$H$9,VLOOKUP('2. Kostprijs per beheertype'!D178,'1. Samenvatting'!$G$9:$N$15,2,FALSE),IF(C178='1. Samenvatting'!$I$9,VLOOKUP('2. Kostprijs per beheertype'!D178,'1. Samenvatting'!$G$9:$N$15,3),IF(C178='1. Samenvatting'!$J$9,VLOOKUP('2. Kostprijs per beheertype'!D178,'1. Samenvatting'!$G$9:$N$15,4),IF(C178='1. Samenvatting'!$K$9,VLOOKUP('2. Kostprijs per beheertype'!D178,'1. Samenvatting'!$G$9:$N$15,5),IF(C178='1. Samenvatting'!$L$9,VLOOKUP('2. Kostprijs per beheertype'!D178,'1. Samenvatting'!$G$9:$N$15,6),IF(C178='1. Samenvatting'!$M$9,VLOOKUP('2. Kostprijs per beheertype'!D178,'1. Samenvatting'!$G$9:$N$15,7),IF(C178='1. Samenvatting'!$N$9,VLOOKUP('2. Kostprijs per beheertype'!D178,'1. Samenvatting'!$G$9:$N$15,8),"Nvt")))))))</f>
        <v>50.928209617678966</v>
      </c>
      <c r="F178" s="381">
        <f>IF(C178='1. Samenvatting'!$H$9,VLOOKUP('2. Kostprijs per beheertype'!D178,'1. Samenvatting'!$G$16:$N$20,2,FALSE),IF(C178='1. Samenvatting'!$I$9,VLOOKUP('2. Kostprijs per beheertype'!D178,'1. Samenvatting'!$G$16:$N$20,3,FALSE),IF(C178='1. Samenvatting'!$J$9,VLOOKUP('2. Kostprijs per beheertype'!D178,'1. Samenvatting'!$G$16:$N$20,4,FALSE),IF(C178='1. Samenvatting'!$K$9,VLOOKUP('2. Kostprijs per beheertype'!D178,'1. Samenvatting'!$G$16:$N$20,5,FALSE),IF(C178='1. Samenvatting'!$L$9,VLOOKUP('2. Kostprijs per beheertype'!D178,'1. Samenvatting'!$G$16:$N$20,6,FALSE),IF(C178='1. Samenvatting'!$M$9,VLOOKUP('2. Kostprijs per beheertype'!D178,'1. Samenvatting'!$G$16:$N$20,7,FALSE),IF(C178='1. Samenvatting'!$N$9,VLOOKUP('2. Kostprijs per beheertype'!D178,'1. Samenvatting'!$G$16:$N$20,8,FALSE),"Nvt")))))))</f>
        <v>52.877897479669919</v>
      </c>
      <c r="G178" s="382">
        <v>6</v>
      </c>
      <c r="H178" s="381">
        <f t="shared" si="4"/>
        <v>8.4880349362798277</v>
      </c>
      <c r="I178" s="381">
        <f t="shared" si="5"/>
        <v>8.8129829132783204</v>
      </c>
      <c r="J178" s="381"/>
      <c r="K178" s="396"/>
      <c r="L178" s="397"/>
    </row>
    <row r="179" spans="1:12" x14ac:dyDescent="0.2">
      <c r="G179" s="587"/>
      <c r="H179" s="588"/>
      <c r="I179" s="588"/>
      <c r="J179" s="588"/>
    </row>
    <row r="180" spans="1:12" x14ac:dyDescent="0.2">
      <c r="G180" s="587"/>
      <c r="H180" s="588"/>
      <c r="I180" s="588"/>
      <c r="J180" s="588"/>
    </row>
    <row r="181" spans="1:12" x14ac:dyDescent="0.2">
      <c r="G181" s="587"/>
      <c r="H181" s="588"/>
      <c r="I181" s="588"/>
      <c r="J181" s="588"/>
    </row>
    <row r="182" spans="1:12" x14ac:dyDescent="0.2">
      <c r="G182" s="587"/>
      <c r="H182" s="588"/>
      <c r="I182" s="588"/>
      <c r="J182" s="588"/>
    </row>
    <row r="183" spans="1:12" x14ac:dyDescent="0.2">
      <c r="G183" s="587"/>
      <c r="H183" s="588"/>
      <c r="I183" s="588"/>
      <c r="J183" s="588"/>
    </row>
    <row r="184" spans="1:12" x14ac:dyDescent="0.2">
      <c r="G184" s="587"/>
      <c r="H184" s="588"/>
      <c r="I184" s="588"/>
      <c r="J184" s="588"/>
    </row>
    <row r="185" spans="1:12" x14ac:dyDescent="0.2">
      <c r="G185" s="587"/>
      <c r="H185" s="588"/>
      <c r="I185" s="588"/>
      <c r="J185" s="588"/>
    </row>
    <row r="186" spans="1:12" x14ac:dyDescent="0.2">
      <c r="G186" s="587"/>
      <c r="H186" s="588"/>
      <c r="I186" s="588"/>
      <c r="J186" s="588"/>
    </row>
    <row r="187" spans="1:12" x14ac:dyDescent="0.2">
      <c r="G187" s="587"/>
      <c r="H187" s="588"/>
      <c r="I187" s="588"/>
      <c r="J187" s="588"/>
    </row>
    <row r="188" spans="1:12" x14ac:dyDescent="0.2">
      <c r="G188" s="587"/>
      <c r="H188" s="588"/>
      <c r="I188" s="588"/>
      <c r="J188" s="588"/>
    </row>
    <row r="189" spans="1:12" x14ac:dyDescent="0.2">
      <c r="G189" s="587"/>
      <c r="H189" s="588"/>
      <c r="I189" s="588"/>
      <c r="J189" s="588"/>
    </row>
    <row r="190" spans="1:12" x14ac:dyDescent="0.2">
      <c r="G190" s="587"/>
      <c r="H190" s="588"/>
      <c r="I190" s="588"/>
      <c r="J190" s="588"/>
    </row>
    <row r="191" spans="1:12" x14ac:dyDescent="0.2">
      <c r="G191" s="587"/>
      <c r="H191" s="588"/>
      <c r="I191" s="588"/>
      <c r="J191" s="588"/>
    </row>
    <row r="192" spans="1:12" x14ac:dyDescent="0.2">
      <c r="G192" s="587"/>
      <c r="H192" s="588"/>
      <c r="I192" s="588"/>
      <c r="J192" s="588"/>
    </row>
    <row r="193" spans="7:10" x14ac:dyDescent="0.2">
      <c r="G193" s="587"/>
      <c r="H193" s="588"/>
      <c r="I193" s="588"/>
      <c r="J193" s="588"/>
    </row>
    <row r="194" spans="7:10" x14ac:dyDescent="0.2">
      <c r="G194" s="587"/>
      <c r="H194" s="588"/>
      <c r="I194" s="588"/>
      <c r="J194" s="588"/>
    </row>
    <row r="195" spans="7:10" x14ac:dyDescent="0.2">
      <c r="G195" s="587"/>
      <c r="H195" s="588"/>
      <c r="I195" s="588"/>
      <c r="J195" s="588"/>
    </row>
    <row r="196" spans="7:10" x14ac:dyDescent="0.2">
      <c r="G196" s="587"/>
      <c r="H196" s="588"/>
      <c r="I196" s="588"/>
      <c r="J196" s="588"/>
    </row>
    <row r="197" spans="7:10" x14ac:dyDescent="0.2">
      <c r="G197" s="587"/>
      <c r="H197" s="588"/>
      <c r="I197" s="588"/>
      <c r="J197" s="588"/>
    </row>
    <row r="198" spans="7:10" x14ac:dyDescent="0.2">
      <c r="G198" s="587"/>
      <c r="H198" s="588"/>
      <c r="I198" s="588"/>
      <c r="J198" s="588"/>
    </row>
    <row r="199" spans="7:10" x14ac:dyDescent="0.2">
      <c r="G199" s="587"/>
      <c r="H199" s="588"/>
      <c r="I199" s="588"/>
      <c r="J199" s="588"/>
    </row>
    <row r="200" spans="7:10" x14ac:dyDescent="0.2">
      <c r="G200" s="587"/>
      <c r="H200" s="588"/>
      <c r="I200" s="588"/>
      <c r="J200" s="588"/>
    </row>
    <row r="201" spans="7:10" x14ac:dyDescent="0.2">
      <c r="G201" s="587"/>
      <c r="H201" s="588"/>
      <c r="I201" s="588"/>
      <c r="J201" s="588"/>
    </row>
    <row r="202" spans="7:10" x14ac:dyDescent="0.2">
      <c r="G202" s="587"/>
      <c r="H202" s="588"/>
      <c r="I202" s="588"/>
      <c r="J202" s="588"/>
    </row>
    <row r="203" spans="7:10" x14ac:dyDescent="0.2">
      <c r="G203" s="587"/>
      <c r="H203" s="588"/>
      <c r="I203" s="588"/>
      <c r="J203" s="588"/>
    </row>
    <row r="204" spans="7:10" x14ac:dyDescent="0.2">
      <c r="G204" s="587"/>
      <c r="H204" s="588"/>
      <c r="I204" s="588"/>
      <c r="J204" s="588"/>
    </row>
    <row r="205" spans="7:10" x14ac:dyDescent="0.2">
      <c r="G205" s="587"/>
      <c r="H205" s="588"/>
      <c r="I205" s="588"/>
      <c r="J205" s="588"/>
    </row>
    <row r="206" spans="7:10" x14ac:dyDescent="0.2">
      <c r="G206" s="587"/>
      <c r="H206" s="588"/>
      <c r="I206" s="588"/>
      <c r="J206" s="588"/>
    </row>
    <row r="207" spans="7:10" x14ac:dyDescent="0.2">
      <c r="G207" s="587"/>
      <c r="H207" s="588"/>
      <c r="I207" s="588"/>
      <c r="J207" s="588"/>
    </row>
    <row r="208" spans="7:10" x14ac:dyDescent="0.2">
      <c r="G208" s="587"/>
      <c r="H208" s="588"/>
      <c r="I208" s="588"/>
      <c r="J208" s="588"/>
    </row>
    <row r="209" spans="7:10" x14ac:dyDescent="0.2">
      <c r="G209" s="587"/>
      <c r="H209" s="588"/>
      <c r="I209" s="588"/>
      <c r="J209" s="588"/>
    </row>
    <row r="210" spans="7:10" x14ac:dyDescent="0.2">
      <c r="G210" s="587"/>
      <c r="H210" s="588"/>
      <c r="I210" s="588"/>
      <c r="J210" s="588"/>
    </row>
    <row r="211" spans="7:10" x14ac:dyDescent="0.2">
      <c r="G211" s="587"/>
      <c r="H211" s="588"/>
      <c r="I211" s="588"/>
      <c r="J211" s="588"/>
    </row>
    <row r="212" spans="7:10" x14ac:dyDescent="0.2">
      <c r="G212" s="587"/>
      <c r="H212" s="588"/>
      <c r="I212" s="588"/>
      <c r="J212" s="588"/>
    </row>
    <row r="213" spans="7:10" x14ac:dyDescent="0.2">
      <c r="G213" s="587"/>
      <c r="H213" s="588"/>
      <c r="I213" s="588"/>
      <c r="J213" s="588"/>
    </row>
    <row r="214" spans="7:10" x14ac:dyDescent="0.2">
      <c r="G214" s="587"/>
      <c r="H214" s="588"/>
      <c r="I214" s="588"/>
      <c r="J214" s="588"/>
    </row>
    <row r="215" spans="7:10" x14ac:dyDescent="0.2">
      <c r="G215" s="587"/>
      <c r="H215" s="588"/>
      <c r="I215" s="588"/>
      <c r="J215" s="588"/>
    </row>
    <row r="216" spans="7:10" x14ac:dyDescent="0.2">
      <c r="G216" s="587"/>
      <c r="H216" s="588"/>
      <c r="I216" s="588"/>
      <c r="J216" s="588"/>
    </row>
    <row r="217" spans="7:10" x14ac:dyDescent="0.2">
      <c r="G217" s="587"/>
      <c r="H217" s="588"/>
      <c r="I217" s="588"/>
      <c r="J217" s="588"/>
    </row>
    <row r="218" spans="7:10" x14ac:dyDescent="0.2">
      <c r="G218" s="587"/>
      <c r="H218" s="588"/>
      <c r="I218" s="588"/>
      <c r="J218" s="588"/>
    </row>
    <row r="219" spans="7:10" x14ac:dyDescent="0.2">
      <c r="G219" s="587"/>
      <c r="H219" s="588"/>
      <c r="I219" s="588"/>
      <c r="J219" s="588"/>
    </row>
    <row r="220" spans="7:10" x14ac:dyDescent="0.2">
      <c r="G220" s="587"/>
      <c r="H220" s="588"/>
      <c r="I220" s="588"/>
      <c r="J220" s="588"/>
    </row>
    <row r="221" spans="7:10" x14ac:dyDescent="0.2">
      <c r="G221" s="587"/>
      <c r="H221" s="588"/>
      <c r="I221" s="588"/>
      <c r="J221" s="588"/>
    </row>
    <row r="222" spans="7:10" x14ac:dyDescent="0.2">
      <c r="G222" s="587"/>
      <c r="H222" s="588"/>
      <c r="I222" s="588"/>
      <c r="J222" s="588"/>
    </row>
    <row r="223" spans="7:10" x14ac:dyDescent="0.2">
      <c r="G223" s="587"/>
      <c r="H223" s="588"/>
      <c r="I223" s="588"/>
      <c r="J223" s="588"/>
    </row>
    <row r="224" spans="7:10" x14ac:dyDescent="0.2">
      <c r="G224" s="587"/>
      <c r="H224" s="588"/>
      <c r="I224" s="588"/>
      <c r="J224" s="588"/>
    </row>
    <row r="225" spans="7:10" x14ac:dyDescent="0.2">
      <c r="G225" s="587"/>
      <c r="H225" s="588"/>
      <c r="I225" s="588"/>
      <c r="J225" s="588"/>
    </row>
    <row r="226" spans="7:10" x14ac:dyDescent="0.2">
      <c r="G226" s="587"/>
      <c r="H226" s="588"/>
      <c r="I226" s="588"/>
      <c r="J226" s="588"/>
    </row>
    <row r="227" spans="7:10" x14ac:dyDescent="0.2">
      <c r="G227" s="587"/>
      <c r="H227" s="588"/>
      <c r="I227" s="588"/>
      <c r="J227" s="588"/>
    </row>
    <row r="228" spans="7:10" x14ac:dyDescent="0.2">
      <c r="G228" s="587"/>
      <c r="H228" s="588"/>
      <c r="I228" s="588"/>
      <c r="J228" s="588"/>
    </row>
    <row r="229" spans="7:10" x14ac:dyDescent="0.2">
      <c r="G229" s="587"/>
      <c r="H229" s="588"/>
      <c r="I229" s="588"/>
      <c r="J229" s="588"/>
    </row>
    <row r="230" spans="7:10" x14ac:dyDescent="0.2">
      <c r="G230" s="587"/>
      <c r="H230" s="588"/>
      <c r="I230" s="588"/>
      <c r="J230" s="588"/>
    </row>
    <row r="231" spans="7:10" x14ac:dyDescent="0.2">
      <c r="G231" s="587"/>
      <c r="H231" s="588"/>
      <c r="I231" s="588"/>
      <c r="J231" s="588"/>
    </row>
    <row r="232" spans="7:10" x14ac:dyDescent="0.2">
      <c r="G232" s="587"/>
      <c r="H232" s="588"/>
      <c r="I232" s="588"/>
      <c r="J232" s="588"/>
    </row>
    <row r="233" spans="7:10" x14ac:dyDescent="0.2">
      <c r="G233" s="587"/>
      <c r="H233" s="588"/>
      <c r="I233" s="588"/>
      <c r="J233" s="588"/>
    </row>
  </sheetData>
  <mergeCells count="9">
    <mergeCell ref="K8:L9"/>
    <mergeCell ref="A1:J2"/>
    <mergeCell ref="A3:L6"/>
    <mergeCell ref="C8:C10"/>
    <mergeCell ref="J8:J10"/>
    <mergeCell ref="D8:D10"/>
    <mergeCell ref="G8:G10"/>
    <mergeCell ref="H8:I9"/>
    <mergeCell ref="E8:F9"/>
  </mergeCells>
  <phoneticPr fontId="5" type="noConversion"/>
  <pageMargins left="0.7" right="0.7" top="0.75" bottom="0.75" header="0.3" footer="0.3"/>
  <pageSetup paperSize="9" scale="26"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9010-08DF-4D61-A245-647EA493701D}">
  <sheetPr>
    <tabColor theme="9"/>
    <pageSetUpPr fitToPage="1"/>
  </sheetPr>
  <dimension ref="A1:S40"/>
  <sheetViews>
    <sheetView workbookViewId="0">
      <selection sqref="A1:J2"/>
    </sheetView>
  </sheetViews>
  <sheetFormatPr defaultColWidth="9.09765625" defaultRowHeight="9.9499999999999993" customHeight="1" x14ac:dyDescent="0.2"/>
  <cols>
    <col min="1" max="2" width="9.09765625" style="82"/>
    <col min="3" max="4" width="9.09765625" style="82" customWidth="1"/>
    <col min="5" max="16384" width="9.09765625" style="82"/>
  </cols>
  <sheetData>
    <row r="1" spans="1:19" s="485" customFormat="1" ht="9.9499999999999993" customHeight="1" x14ac:dyDescent="0.25">
      <c r="A1" s="605" t="str" cm="1">
        <f t="array" aca="1" ref="A1" ca="1">MID(CELL("bestandsnaam",$A$1),FIND("]",CELL("bestandsnaam",$A$1))+1,31)</f>
        <v>3. Parameters kostprijsmodel</v>
      </c>
      <c r="B1" s="605"/>
      <c r="C1" s="605"/>
      <c r="D1" s="605"/>
      <c r="E1" s="605"/>
      <c r="F1" s="605"/>
      <c r="G1" s="605"/>
      <c r="H1" s="605"/>
      <c r="I1" s="605"/>
      <c r="J1" s="605"/>
    </row>
    <row r="2" spans="1:19" s="485" customFormat="1" ht="9.9499999999999993" customHeight="1" x14ac:dyDescent="0.25">
      <c r="A2" s="605"/>
      <c r="B2" s="605"/>
      <c r="C2" s="605"/>
      <c r="D2" s="605"/>
      <c r="E2" s="605"/>
      <c r="F2" s="605"/>
      <c r="G2" s="605"/>
      <c r="H2" s="605"/>
      <c r="I2" s="605"/>
      <c r="J2" s="605"/>
      <c r="K2" s="484"/>
      <c r="L2" s="484"/>
    </row>
    <row r="3" spans="1:19" s="488" customFormat="1" ht="9.9499999999999993" customHeight="1" x14ac:dyDescent="0.25">
      <c r="A3" s="632" t="s">
        <v>158</v>
      </c>
      <c r="B3" s="632"/>
      <c r="C3" s="632"/>
      <c r="D3" s="632"/>
      <c r="E3" s="632"/>
      <c r="F3" s="632"/>
      <c r="G3" s="632"/>
      <c r="H3" s="632"/>
      <c r="I3" s="632"/>
      <c r="J3" s="632"/>
      <c r="K3" s="632"/>
      <c r="L3" s="632"/>
    </row>
    <row r="4" spans="1:19" s="488" customFormat="1" ht="9.9499999999999993" customHeight="1" x14ac:dyDescent="0.25">
      <c r="A4" s="632"/>
      <c r="B4" s="632"/>
      <c r="C4" s="632"/>
      <c r="D4" s="632"/>
      <c r="E4" s="632"/>
      <c r="F4" s="632"/>
      <c r="G4" s="632"/>
      <c r="H4" s="632"/>
      <c r="I4" s="632"/>
      <c r="J4" s="632"/>
      <c r="K4" s="632"/>
      <c r="L4" s="632"/>
    </row>
    <row r="5" spans="1:19" s="488" customFormat="1" ht="9.9499999999999993" customHeight="1" x14ac:dyDescent="0.25">
      <c r="A5" s="632"/>
      <c r="B5" s="632"/>
      <c r="C5" s="632"/>
      <c r="D5" s="632"/>
      <c r="E5" s="632"/>
      <c r="F5" s="632"/>
      <c r="G5" s="632"/>
      <c r="H5" s="632"/>
      <c r="I5" s="632"/>
      <c r="J5" s="632"/>
      <c r="K5" s="632"/>
      <c r="L5" s="632"/>
    </row>
    <row r="6" spans="1:19" s="488" customFormat="1" ht="9.9499999999999993" customHeight="1" x14ac:dyDescent="0.25">
      <c r="A6" s="632"/>
      <c r="B6" s="632"/>
      <c r="C6" s="632"/>
      <c r="D6" s="632"/>
      <c r="E6" s="632"/>
      <c r="F6" s="632"/>
      <c r="G6" s="632"/>
      <c r="H6" s="632"/>
      <c r="I6" s="632"/>
      <c r="J6" s="632"/>
      <c r="K6" s="632"/>
      <c r="L6" s="632"/>
    </row>
    <row r="7" spans="1:19" s="300" customFormat="1" ht="9.9499999999999993" customHeight="1" x14ac:dyDescent="0.15">
      <c r="A7" s="432" t="s">
        <v>159</v>
      </c>
      <c r="N7" s="300" t="s">
        <v>160</v>
      </c>
      <c r="R7" s="300" t="s">
        <v>161</v>
      </c>
    </row>
    <row r="8" spans="1:19" s="300" customFormat="1" ht="9.9499999999999993" customHeight="1" x14ac:dyDescent="0.15">
      <c r="A8" s="694" t="s">
        <v>162</v>
      </c>
      <c r="B8" s="695"/>
      <c r="C8" s="695" t="s">
        <v>163</v>
      </c>
      <c r="D8" s="696"/>
      <c r="E8" s="513" t="s">
        <v>164</v>
      </c>
      <c r="F8" s="514"/>
      <c r="G8" s="514"/>
      <c r="H8" s="514"/>
      <c r="I8" s="515"/>
      <c r="J8" s="516"/>
      <c r="K8" s="516"/>
      <c r="L8" s="517"/>
      <c r="N8" s="300">
        <v>83.37</v>
      </c>
      <c r="O8" s="300" t="s">
        <v>165</v>
      </c>
      <c r="R8" s="601">
        <f>N8*1.0997</f>
        <v>91.681989000000002</v>
      </c>
    </row>
    <row r="9" spans="1:19" s="300" customFormat="1" ht="9.9499999999999993" customHeight="1" x14ac:dyDescent="0.15">
      <c r="A9" s="685" t="s">
        <v>166</v>
      </c>
      <c r="B9" s="686"/>
      <c r="C9" s="435" t="s">
        <v>167</v>
      </c>
      <c r="D9" s="602">
        <v>91.68</v>
      </c>
      <c r="E9" s="607" t="s">
        <v>168</v>
      </c>
      <c r="F9" s="608"/>
      <c r="G9" s="608"/>
      <c r="H9" s="608"/>
      <c r="I9" s="608"/>
      <c r="J9" s="608"/>
      <c r="K9" s="608"/>
      <c r="L9" s="609"/>
      <c r="N9" s="300">
        <v>69.14</v>
      </c>
      <c r="O9" s="300" t="s">
        <v>165</v>
      </c>
      <c r="R9" s="601">
        <f>N9*1.0997</f>
        <v>76.033257999999989</v>
      </c>
    </row>
    <row r="10" spans="1:19" s="300" customFormat="1" ht="9.9499999999999993" customHeight="1" x14ac:dyDescent="0.15">
      <c r="A10" s="687" t="s">
        <v>166</v>
      </c>
      <c r="B10" s="688"/>
      <c r="C10" s="436" t="s">
        <v>169</v>
      </c>
      <c r="D10" s="603">
        <v>76.03</v>
      </c>
      <c r="E10" s="612"/>
      <c r="F10" s="613"/>
      <c r="G10" s="613"/>
      <c r="H10" s="613"/>
      <c r="I10" s="613"/>
      <c r="J10" s="613"/>
      <c r="K10" s="613"/>
      <c r="L10" s="614"/>
      <c r="N10" s="601">
        <v>62.068794326241132</v>
      </c>
      <c r="O10" s="300" t="s">
        <v>170</v>
      </c>
    </row>
    <row r="11" spans="1:19" s="300" customFormat="1" ht="9.9499999999999993" customHeight="1" x14ac:dyDescent="0.15">
      <c r="A11" s="689" t="s">
        <v>171</v>
      </c>
      <c r="B11" s="690"/>
      <c r="C11" s="437" t="s">
        <v>172</v>
      </c>
      <c r="D11" s="438">
        <f>C25</f>
        <v>66.255819148936169</v>
      </c>
      <c r="E11" s="518" t="s">
        <v>173</v>
      </c>
      <c r="F11" s="519"/>
      <c r="G11" s="519"/>
      <c r="H11" s="519"/>
      <c r="I11" s="519"/>
      <c r="J11" s="519"/>
      <c r="K11" s="519"/>
      <c r="L11" s="520"/>
    </row>
    <row r="12" spans="1:19" s="300" customFormat="1" ht="9.9499999999999993" customHeight="1" x14ac:dyDescent="0.15"/>
    <row r="13" spans="1:19" s="300" customFormat="1" ht="9.9499999999999993" customHeight="1" x14ac:dyDescent="0.15">
      <c r="A13" s="432" t="s">
        <v>174</v>
      </c>
    </row>
    <row r="14" spans="1:19" s="300" customFormat="1" ht="9.9499999999999993" customHeight="1" x14ac:dyDescent="0.15">
      <c r="A14" s="697" t="s">
        <v>175</v>
      </c>
      <c r="B14" s="698"/>
      <c r="C14" s="698" t="s">
        <v>176</v>
      </c>
      <c r="D14" s="698"/>
      <c r="E14" s="698" t="s">
        <v>177</v>
      </c>
      <c r="F14" s="698"/>
      <c r="G14" s="698" t="s">
        <v>164</v>
      </c>
      <c r="H14" s="698"/>
      <c r="I14" s="698"/>
      <c r="J14" s="698"/>
      <c r="K14" s="698"/>
      <c r="L14" s="708"/>
    </row>
    <row r="15" spans="1:19" s="300" customFormat="1" ht="9.9499999999999993" customHeight="1" x14ac:dyDescent="0.15">
      <c r="A15" s="699" t="s">
        <v>178</v>
      </c>
      <c r="B15" s="700"/>
      <c r="C15" s="715">
        <v>1271.03</v>
      </c>
      <c r="D15" s="716"/>
      <c r="E15" s="699" t="s">
        <v>179</v>
      </c>
      <c r="F15" s="703"/>
      <c r="G15" s="704" t="s">
        <v>180</v>
      </c>
      <c r="H15" s="704"/>
      <c r="I15" s="704"/>
      <c r="J15" s="704"/>
      <c r="K15" s="704"/>
      <c r="L15" s="705"/>
      <c r="N15" s="300" t="s">
        <v>181</v>
      </c>
    </row>
    <row r="16" spans="1:19" s="300" customFormat="1" ht="9.9499999999999993" customHeight="1" x14ac:dyDescent="0.15">
      <c r="A16" s="699" t="s">
        <v>182</v>
      </c>
      <c r="B16" s="700"/>
      <c r="C16" s="717">
        <f>0.08*C15</f>
        <v>101.6824</v>
      </c>
      <c r="D16" s="718"/>
      <c r="E16" s="699" t="s">
        <v>183</v>
      </c>
      <c r="F16" s="703"/>
      <c r="G16" s="704" t="s">
        <v>184</v>
      </c>
      <c r="H16" s="704"/>
      <c r="I16" s="704"/>
      <c r="J16" s="704"/>
      <c r="K16" s="704"/>
      <c r="L16" s="705"/>
      <c r="N16" s="704" t="s">
        <v>185</v>
      </c>
      <c r="O16" s="704"/>
      <c r="P16" s="704"/>
      <c r="Q16" s="704"/>
      <c r="R16" s="704"/>
      <c r="S16" s="705"/>
    </row>
    <row r="17" spans="1:15" s="300" customFormat="1" ht="9.9499999999999993" customHeight="1" x14ac:dyDescent="0.15">
      <c r="A17" s="699" t="s">
        <v>186</v>
      </c>
      <c r="B17" s="700"/>
      <c r="C17" s="717">
        <f>0.37*C15</f>
        <v>470.28109999999998</v>
      </c>
      <c r="D17" s="718"/>
      <c r="E17" s="699" t="s">
        <v>187</v>
      </c>
      <c r="F17" s="703"/>
      <c r="G17" s="704" t="s">
        <v>188</v>
      </c>
      <c r="H17" s="704"/>
      <c r="I17" s="704"/>
      <c r="J17" s="704"/>
      <c r="K17" s="704"/>
      <c r="L17" s="705"/>
    </row>
    <row r="18" spans="1:15" s="300" customFormat="1" ht="9.9499999999999993" customHeight="1" x14ac:dyDescent="0.15">
      <c r="A18" s="699" t="s">
        <v>189</v>
      </c>
      <c r="B18" s="700"/>
      <c r="C18" s="717">
        <f>0.02*C15</f>
        <v>25.4206</v>
      </c>
      <c r="D18" s="718"/>
      <c r="E18" s="699" t="s">
        <v>190</v>
      </c>
      <c r="F18" s="703"/>
      <c r="G18" s="706" t="s">
        <v>191</v>
      </c>
      <c r="H18" s="706"/>
      <c r="I18" s="706"/>
      <c r="J18" s="706"/>
      <c r="K18" s="706"/>
      <c r="L18" s="707"/>
    </row>
    <row r="19" spans="1:15" s="300" customFormat="1" ht="9.9499999999999993" customHeight="1" x14ac:dyDescent="0.15">
      <c r="A19" s="701" t="s">
        <v>192</v>
      </c>
      <c r="B19" s="702"/>
      <c r="C19" s="709">
        <f>SUM(C15:D18)</f>
        <v>1868.4140999999997</v>
      </c>
      <c r="D19" s="710"/>
      <c r="E19" s="699"/>
      <c r="F19" s="703"/>
      <c r="G19" s="704"/>
      <c r="H19" s="704"/>
      <c r="I19" s="704"/>
      <c r="J19" s="704"/>
      <c r="K19" s="704"/>
      <c r="L19" s="705"/>
    </row>
    <row r="20" spans="1:15" s="300" customFormat="1" ht="9.9499999999999993" customHeight="1" x14ac:dyDescent="0.15">
      <c r="A20" s="699" t="s">
        <v>193</v>
      </c>
      <c r="B20" s="700"/>
      <c r="C20" s="717">
        <v>40</v>
      </c>
      <c r="D20" s="718"/>
      <c r="E20" s="699" t="s">
        <v>194</v>
      </c>
      <c r="F20" s="703"/>
      <c r="G20" s="704"/>
      <c r="H20" s="704"/>
      <c r="I20" s="704"/>
      <c r="J20" s="704"/>
      <c r="K20" s="704"/>
      <c r="L20" s="705"/>
      <c r="N20" s="300" t="s">
        <v>195</v>
      </c>
    </row>
    <row r="21" spans="1:15" s="300" customFormat="1" ht="9.9499999999999993" customHeight="1" x14ac:dyDescent="0.15">
      <c r="A21" s="699" t="s">
        <v>196</v>
      </c>
      <c r="B21" s="700"/>
      <c r="C21" s="717">
        <v>3.8</v>
      </c>
      <c r="D21" s="718"/>
      <c r="E21" s="699" t="s">
        <v>197</v>
      </c>
      <c r="F21" s="703"/>
      <c r="G21" s="704" t="s">
        <v>198</v>
      </c>
      <c r="H21" s="704"/>
      <c r="I21" s="704"/>
      <c r="J21" s="704"/>
      <c r="K21" s="704"/>
      <c r="L21" s="705"/>
      <c r="N21" s="300" t="s">
        <v>199</v>
      </c>
    </row>
    <row r="22" spans="1:15" s="300" customFormat="1" ht="9.9499999999999993" customHeight="1" x14ac:dyDescent="0.15">
      <c r="A22" s="699" t="s">
        <v>200</v>
      </c>
      <c r="B22" s="700"/>
      <c r="C22" s="717">
        <v>3</v>
      </c>
      <c r="D22" s="718"/>
      <c r="E22" s="699" t="s">
        <v>194</v>
      </c>
      <c r="F22" s="703"/>
      <c r="G22" s="704" t="s">
        <v>201</v>
      </c>
      <c r="H22" s="704"/>
      <c r="I22" s="704"/>
      <c r="J22" s="704"/>
      <c r="K22" s="704"/>
      <c r="L22" s="705"/>
      <c r="N22" s="300" t="s">
        <v>202</v>
      </c>
      <c r="O22" s="300" t="s">
        <v>203</v>
      </c>
    </row>
    <row r="23" spans="1:15" s="300" customFormat="1" ht="9.9499999999999993" customHeight="1" x14ac:dyDescent="0.15">
      <c r="A23" s="699" t="s">
        <v>204</v>
      </c>
      <c r="B23" s="700"/>
      <c r="C23" s="717">
        <v>5</v>
      </c>
      <c r="D23" s="718"/>
      <c r="E23" s="699" t="s">
        <v>197</v>
      </c>
      <c r="F23" s="703"/>
      <c r="G23" s="704" t="s">
        <v>205</v>
      </c>
      <c r="H23" s="704"/>
      <c r="I23" s="704"/>
      <c r="J23" s="704"/>
      <c r="K23" s="704"/>
      <c r="L23" s="705"/>
    </row>
    <row r="24" spans="1:15" s="300" customFormat="1" ht="9.9499999999999993" customHeight="1" x14ac:dyDescent="0.15">
      <c r="A24" s="701" t="s">
        <v>206</v>
      </c>
      <c r="B24" s="702"/>
      <c r="C24" s="709">
        <f>C20-SUM(C21:D23)</f>
        <v>28.2</v>
      </c>
      <c r="D24" s="710"/>
      <c r="E24" s="699"/>
      <c r="F24" s="703"/>
      <c r="G24" s="704"/>
      <c r="H24" s="704"/>
      <c r="I24" s="704"/>
      <c r="J24" s="704"/>
      <c r="K24" s="704"/>
      <c r="L24" s="705"/>
    </row>
    <row r="25" spans="1:15" s="300" customFormat="1" ht="9.9499999999999993" customHeight="1" x14ac:dyDescent="0.15">
      <c r="A25" s="691" t="s">
        <v>207</v>
      </c>
      <c r="B25" s="692"/>
      <c r="C25" s="711">
        <f>C19/C24</f>
        <v>66.255819148936169</v>
      </c>
      <c r="D25" s="712"/>
      <c r="E25" s="719"/>
      <c r="F25" s="720"/>
      <c r="G25" s="713"/>
      <c r="H25" s="713"/>
      <c r="I25" s="713"/>
      <c r="J25" s="713"/>
      <c r="K25" s="713"/>
      <c r="L25" s="714"/>
    </row>
    <row r="26" spans="1:15" s="300" customFormat="1" ht="9.9499999999999993" customHeight="1" x14ac:dyDescent="0.15">
      <c r="A26" s="693"/>
      <c r="B26" s="693"/>
      <c r="C26" s="722"/>
      <c r="D26" s="722"/>
      <c r="E26" s="693"/>
      <c r="F26" s="693"/>
      <c r="G26" s="721"/>
      <c r="H26" s="721"/>
      <c r="I26" s="721"/>
      <c r="J26" s="721"/>
      <c r="K26" s="721"/>
      <c r="L26" s="721"/>
    </row>
    <row r="27" spans="1:15" s="300" customFormat="1" ht="9.9499999999999993" customHeight="1" x14ac:dyDescent="0.15">
      <c r="A27" s="300" t="s">
        <v>208</v>
      </c>
    </row>
    <row r="28" spans="1:15" s="300" customFormat="1" ht="9.9499999999999993" customHeight="1" x14ac:dyDescent="0.15">
      <c r="A28" s="678"/>
      <c r="B28" s="679"/>
      <c r="C28" s="455" t="s">
        <v>209</v>
      </c>
      <c r="D28" s="682" t="s">
        <v>164</v>
      </c>
      <c r="E28" s="683"/>
      <c r="F28" s="683"/>
      <c r="G28" s="683"/>
      <c r="H28" s="683"/>
      <c r="I28" s="684"/>
      <c r="J28" s="481"/>
      <c r="K28" s="481"/>
      <c r="L28" s="468"/>
    </row>
    <row r="29" spans="1:15" s="300" customFormat="1" ht="9.9499999999999993" customHeight="1" x14ac:dyDescent="0.15">
      <c r="A29" s="680" t="s">
        <v>210</v>
      </c>
      <c r="B29" s="681"/>
      <c r="C29" s="512">
        <v>250</v>
      </c>
      <c r="D29" s="511" t="s">
        <v>211</v>
      </c>
      <c r="E29" s="465"/>
      <c r="F29" s="465"/>
      <c r="G29" s="465"/>
      <c r="H29" s="465"/>
      <c r="I29" s="467"/>
      <c r="J29" s="465"/>
      <c r="K29" s="465"/>
      <c r="L29" s="467"/>
    </row>
    <row r="31" spans="1:15" s="300" customFormat="1" ht="9.9499999999999993" customHeight="1" x14ac:dyDescent="0.15">
      <c r="A31" s="300" t="s">
        <v>212</v>
      </c>
    </row>
    <row r="32" spans="1:15" s="300" customFormat="1" ht="9.9499999999999993" customHeight="1" x14ac:dyDescent="0.15">
      <c r="A32" s="682"/>
      <c r="B32" s="684"/>
      <c r="C32" s="439">
        <v>2020</v>
      </c>
      <c r="D32" s="353">
        <v>2021</v>
      </c>
      <c r="E32" s="440">
        <v>2022</v>
      </c>
      <c r="F32" s="440" t="s">
        <v>111</v>
      </c>
      <c r="G32" s="682" t="s">
        <v>164</v>
      </c>
      <c r="H32" s="683"/>
      <c r="I32" s="683"/>
      <c r="J32" s="683"/>
      <c r="K32" s="683"/>
      <c r="L32" s="684"/>
    </row>
    <row r="33" spans="1:12" s="300" customFormat="1" ht="9.9499999999999993" customHeight="1" x14ac:dyDescent="0.15">
      <c r="A33" s="621" t="s">
        <v>213</v>
      </c>
      <c r="B33" s="616"/>
      <c r="C33" s="441">
        <v>2580</v>
      </c>
      <c r="D33" s="442">
        <v>2580</v>
      </c>
      <c r="E33" s="443">
        <v>2580</v>
      </c>
      <c r="F33" s="443">
        <f>SUM(C33:E33)</f>
        <v>7740</v>
      </c>
      <c r="G33" s="607" t="s">
        <v>214</v>
      </c>
      <c r="H33" s="608"/>
      <c r="I33" s="608"/>
      <c r="J33" s="608"/>
      <c r="K33" s="608"/>
      <c r="L33" s="609"/>
    </row>
    <row r="34" spans="1:12" s="300" customFormat="1" ht="9.9499999999999993" customHeight="1" x14ac:dyDescent="0.15">
      <c r="A34" s="622" t="s">
        <v>215</v>
      </c>
      <c r="B34" s="618"/>
      <c r="C34" s="444">
        <v>44565.600000000006</v>
      </c>
      <c r="D34" s="445">
        <v>59293.2</v>
      </c>
      <c r="E34" s="446">
        <v>66572.399999999994</v>
      </c>
      <c r="F34" s="446">
        <f>SUM(C34:E34)</f>
        <v>170431.2</v>
      </c>
      <c r="G34" s="610"/>
      <c r="H34" s="606"/>
      <c r="I34" s="606"/>
      <c r="J34" s="606"/>
      <c r="K34" s="606"/>
      <c r="L34" s="611"/>
    </row>
    <row r="35" spans="1:12" s="300" customFormat="1" ht="9.9499999999999993" customHeight="1" x14ac:dyDescent="0.15">
      <c r="A35" s="622" t="s">
        <v>216</v>
      </c>
      <c r="B35" s="618"/>
      <c r="C35" s="444"/>
      <c r="D35" s="445"/>
      <c r="E35" s="446"/>
      <c r="F35" s="447">
        <f>F33/F34</f>
        <v>4.5414219931561826E-2</v>
      </c>
      <c r="G35" s="610"/>
      <c r="H35" s="606"/>
      <c r="I35" s="606"/>
      <c r="J35" s="606"/>
      <c r="K35" s="606"/>
      <c r="L35" s="611"/>
    </row>
    <row r="36" spans="1:12" s="300" customFormat="1" ht="9.9499999999999993" customHeight="1" x14ac:dyDescent="0.15">
      <c r="A36" s="448" t="s">
        <v>217</v>
      </c>
      <c r="B36" s="449"/>
      <c r="C36" s="450"/>
      <c r="D36" s="451"/>
      <c r="E36" s="452"/>
      <c r="F36" s="453">
        <f>F35*D11</f>
        <v>3.0089563425755728</v>
      </c>
      <c r="G36" s="612"/>
      <c r="H36" s="613"/>
      <c r="I36" s="613"/>
      <c r="J36" s="613"/>
      <c r="K36" s="613"/>
      <c r="L36" s="614"/>
    </row>
    <row r="37" spans="1:12" s="300" customFormat="1" ht="9.9499999999999993" customHeight="1" x14ac:dyDescent="0.15"/>
    <row r="38" spans="1:12" s="300" customFormat="1" ht="9.9499999999999993" customHeight="1" x14ac:dyDescent="0.15">
      <c r="A38" s="300" t="s">
        <v>218</v>
      </c>
    </row>
    <row r="39" spans="1:12" s="300" customFormat="1" ht="9.9499999999999993" customHeight="1" x14ac:dyDescent="0.15">
      <c r="A39" s="433" t="s">
        <v>219</v>
      </c>
      <c r="B39" s="434"/>
      <c r="C39" s="454" t="s">
        <v>220</v>
      </c>
      <c r="D39" s="455" t="s">
        <v>221</v>
      </c>
      <c r="E39" s="455" t="s">
        <v>222</v>
      </c>
      <c r="F39" s="682" t="s">
        <v>164</v>
      </c>
      <c r="G39" s="683"/>
      <c r="H39" s="683"/>
      <c r="I39" s="683"/>
      <c r="J39" s="683"/>
      <c r="K39" s="684"/>
      <c r="L39" s="473"/>
    </row>
    <row r="40" spans="1:12" s="300" customFormat="1" ht="9.9499999999999993" customHeight="1" x14ac:dyDescent="0.15">
      <c r="A40" s="676" t="s">
        <v>223</v>
      </c>
      <c r="B40" s="677"/>
      <c r="C40" s="521">
        <v>0</v>
      </c>
      <c r="D40" s="522">
        <v>0</v>
      </c>
      <c r="E40" s="522">
        <v>0</v>
      </c>
      <c r="F40" s="518" t="s">
        <v>224</v>
      </c>
      <c r="G40" s="519"/>
      <c r="H40" s="519"/>
      <c r="I40" s="519"/>
      <c r="J40" s="519"/>
      <c r="K40" s="519"/>
      <c r="L40" s="520"/>
    </row>
  </sheetData>
  <mergeCells count="72">
    <mergeCell ref="G26:L26"/>
    <mergeCell ref="G19:L19"/>
    <mergeCell ref="G20:L20"/>
    <mergeCell ref="C26:D26"/>
    <mergeCell ref="E20:F20"/>
    <mergeCell ref="E21:F21"/>
    <mergeCell ref="C19:D19"/>
    <mergeCell ref="C20:D20"/>
    <mergeCell ref="C21:D21"/>
    <mergeCell ref="C22:D22"/>
    <mergeCell ref="C23:D23"/>
    <mergeCell ref="E26:F26"/>
    <mergeCell ref="N16:S16"/>
    <mergeCell ref="C24:D24"/>
    <mergeCell ref="C25:D25"/>
    <mergeCell ref="G24:L24"/>
    <mergeCell ref="G25:L25"/>
    <mergeCell ref="E17:F17"/>
    <mergeCell ref="E18:F18"/>
    <mergeCell ref="C16:D16"/>
    <mergeCell ref="C17:D17"/>
    <mergeCell ref="C18:D18"/>
    <mergeCell ref="E19:F19"/>
    <mergeCell ref="E25:F25"/>
    <mergeCell ref="A1:J2"/>
    <mergeCell ref="G21:L21"/>
    <mergeCell ref="G22:L22"/>
    <mergeCell ref="G23:L23"/>
    <mergeCell ref="E22:F22"/>
    <mergeCell ref="E23:F23"/>
    <mergeCell ref="C14:D14"/>
    <mergeCell ref="G15:L15"/>
    <mergeCell ref="G16:L16"/>
    <mergeCell ref="G17:L17"/>
    <mergeCell ref="G18:L18"/>
    <mergeCell ref="E15:F15"/>
    <mergeCell ref="E16:F16"/>
    <mergeCell ref="G14:L14"/>
    <mergeCell ref="E14:F14"/>
    <mergeCell ref="C15:D15"/>
    <mergeCell ref="D28:I28"/>
    <mergeCell ref="A3:L6"/>
    <mergeCell ref="A8:B8"/>
    <mergeCell ref="C8:D8"/>
    <mergeCell ref="A14:B14"/>
    <mergeCell ref="A15:B15"/>
    <mergeCell ref="A16:B16"/>
    <mergeCell ref="A17:B17"/>
    <mergeCell ref="A18:B18"/>
    <mergeCell ref="A19:B19"/>
    <mergeCell ref="A20:B20"/>
    <mergeCell ref="A21:B21"/>
    <mergeCell ref="A22:B22"/>
    <mergeCell ref="A23:B23"/>
    <mergeCell ref="A24:B24"/>
    <mergeCell ref="E24:F24"/>
    <mergeCell ref="A40:B40"/>
    <mergeCell ref="A28:B28"/>
    <mergeCell ref="A29:B29"/>
    <mergeCell ref="E9:L10"/>
    <mergeCell ref="F39:K39"/>
    <mergeCell ref="G33:L36"/>
    <mergeCell ref="G32:L32"/>
    <mergeCell ref="A9:B9"/>
    <mergeCell ref="A10:B10"/>
    <mergeCell ref="A11:B11"/>
    <mergeCell ref="A33:B33"/>
    <mergeCell ref="A34:B34"/>
    <mergeCell ref="A32:B32"/>
    <mergeCell ref="A35:B35"/>
    <mergeCell ref="A25:B25"/>
    <mergeCell ref="A26:B26"/>
  </mergeCells>
  <pageMargins left="0.7" right="0.7" top="0.75" bottom="0.75" header="0.3" footer="0.3"/>
  <pageSetup paperSize="9" scale="83"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FA9DE-C9E4-4870-A562-80E5E861A6E3}">
  <sheetPr>
    <tabColor theme="9"/>
    <pageSetUpPr fitToPage="1"/>
  </sheetPr>
  <dimension ref="A1:R113"/>
  <sheetViews>
    <sheetView zoomScaleNormal="100" workbookViewId="0"/>
  </sheetViews>
  <sheetFormatPr defaultColWidth="9.09765625" defaultRowHeight="9" x14ac:dyDescent="0.15"/>
  <cols>
    <col min="1" max="1" width="10.59765625" style="300" customWidth="1"/>
    <col min="2" max="2" width="25.5" style="300" bestFit="1" customWidth="1"/>
    <col min="3" max="9" width="12.59765625" style="461" customWidth="1"/>
    <col min="10" max="11" width="10.59765625" style="300" customWidth="1"/>
    <col min="12" max="12" width="3.3984375" style="300" hidden="1" customWidth="1"/>
    <col min="13" max="13" width="10.59765625" style="300" customWidth="1"/>
    <col min="14" max="14" width="5.09765625" style="300" hidden="1" customWidth="1"/>
    <col min="15" max="15" width="10.59765625" style="300" customWidth="1"/>
    <col min="16" max="16" width="5.796875" style="300" hidden="1" customWidth="1"/>
    <col min="17" max="17" width="10.59765625" style="300" customWidth="1"/>
    <col min="18" max="18" width="9.09765625" style="334" hidden="1" customWidth="1"/>
    <col min="19" max="19" width="10.59765625" style="300" customWidth="1"/>
    <col min="20" max="16384" width="9.09765625" style="300"/>
  </cols>
  <sheetData>
    <row r="1" spans="1:18" s="485" customFormat="1" ht="9.9499999999999993" customHeight="1" x14ac:dyDescent="0.25">
      <c r="A1" s="605" t="str" cm="1">
        <f t="array" aca="1" ref="A1" ca="1">MID(CELL("bestandsnaam",$A$1),FIND("]",CELL("bestandsnaam",$A$1))+1,50)</f>
        <v>4. Beheertypen complexiteit</v>
      </c>
      <c r="B1" s="605"/>
      <c r="C1" s="605"/>
      <c r="D1" s="605"/>
      <c r="E1" s="605"/>
      <c r="F1" s="605"/>
      <c r="G1" s="605"/>
      <c r="H1" s="605"/>
      <c r="I1" s="605"/>
      <c r="J1" s="605"/>
    </row>
    <row r="2" spans="1:18" s="485" customFormat="1" ht="9.9499999999999993" customHeight="1" x14ac:dyDescent="0.25">
      <c r="A2" s="605"/>
      <c r="B2" s="605"/>
      <c r="C2" s="605"/>
      <c r="D2" s="605"/>
      <c r="E2" s="605"/>
      <c r="F2" s="605"/>
      <c r="G2" s="605"/>
      <c r="H2" s="605"/>
      <c r="I2" s="605"/>
      <c r="J2" s="605"/>
    </row>
    <row r="3" spans="1:18" s="488" customFormat="1" ht="9.9499999999999993" customHeight="1" x14ac:dyDescent="0.25">
      <c r="A3" s="632" t="s">
        <v>225</v>
      </c>
      <c r="B3" s="632"/>
      <c r="C3" s="632"/>
      <c r="D3" s="632"/>
      <c r="E3" s="632"/>
      <c r="F3" s="632"/>
      <c r="G3" s="632"/>
      <c r="H3" s="632"/>
      <c r="I3" s="632"/>
      <c r="J3" s="246"/>
    </row>
    <row r="4" spans="1:18" s="488" customFormat="1" ht="9.9499999999999993" customHeight="1" x14ac:dyDescent="0.25">
      <c r="A4" s="632"/>
      <c r="B4" s="632"/>
      <c r="C4" s="632"/>
      <c r="D4" s="632"/>
      <c r="E4" s="632"/>
      <c r="F4" s="632"/>
      <c r="G4" s="632"/>
      <c r="H4" s="632"/>
      <c r="I4" s="632"/>
      <c r="J4" s="246"/>
    </row>
    <row r="5" spans="1:18" s="482" customFormat="1" ht="9.9499999999999993" customHeight="1" x14ac:dyDescent="0.15">
      <c r="A5" s="3" t="s">
        <v>226</v>
      </c>
      <c r="B5" s="59"/>
      <c r="C5" s="59"/>
      <c r="D5" s="59"/>
      <c r="E5" s="59"/>
      <c r="F5" s="59"/>
      <c r="G5" s="59"/>
      <c r="H5" s="59"/>
      <c r="I5" s="59"/>
      <c r="K5" s="432" t="s">
        <v>227</v>
      </c>
      <c r="L5" s="432"/>
      <c r="M5" s="300"/>
      <c r="N5" s="300"/>
      <c r="O5" s="300"/>
      <c r="P5" s="300"/>
      <c r="Q5" s="300"/>
    </row>
    <row r="6" spans="1:18" ht="9.9499999999999993" customHeight="1" x14ac:dyDescent="0.15">
      <c r="A6" s="633" t="s">
        <v>33</v>
      </c>
      <c r="B6" s="634" t="s">
        <v>228</v>
      </c>
      <c r="C6" s="643" t="s">
        <v>16</v>
      </c>
      <c r="D6" s="643" t="s">
        <v>19</v>
      </c>
      <c r="E6" s="643" t="s">
        <v>21</v>
      </c>
      <c r="F6" s="643" t="s">
        <v>36</v>
      </c>
      <c r="G6" s="643" t="s">
        <v>25</v>
      </c>
      <c r="H6" s="643" t="s">
        <v>27</v>
      </c>
      <c r="I6" s="648" t="s">
        <v>35</v>
      </c>
      <c r="K6" s="457" t="s">
        <v>220</v>
      </c>
      <c r="L6" s="458"/>
      <c r="M6" s="458" t="s">
        <v>221</v>
      </c>
      <c r="N6" s="458"/>
      <c r="O6" s="458" t="s">
        <v>229</v>
      </c>
      <c r="P6" s="458"/>
      <c r="Q6" s="459" t="s">
        <v>230</v>
      </c>
      <c r="R6" s="460"/>
    </row>
    <row r="7" spans="1:18" ht="9.9499999999999993" customHeight="1" x14ac:dyDescent="0.15">
      <c r="A7" s="723"/>
      <c r="B7" s="726"/>
      <c r="C7" s="725"/>
      <c r="D7" s="725"/>
      <c r="E7" s="725"/>
      <c r="F7" s="725"/>
      <c r="G7" s="725"/>
      <c r="H7" s="725"/>
      <c r="I7" s="724"/>
      <c r="K7" s="537" t="s">
        <v>68</v>
      </c>
      <c r="L7" s="461">
        <v>1</v>
      </c>
      <c r="M7" s="541" t="s">
        <v>39</v>
      </c>
      <c r="N7" s="461">
        <v>2</v>
      </c>
      <c r="O7" s="541" t="s">
        <v>42</v>
      </c>
      <c r="P7" s="461">
        <v>3</v>
      </c>
      <c r="Q7" s="462" t="s">
        <v>90</v>
      </c>
      <c r="R7" s="463">
        <v>4</v>
      </c>
    </row>
    <row r="8" spans="1:18" ht="9.9499999999999993" customHeight="1" x14ac:dyDescent="0.15">
      <c r="A8" s="635"/>
      <c r="B8" s="636"/>
      <c r="C8" s="644"/>
      <c r="D8" s="644"/>
      <c r="E8" s="644"/>
      <c r="F8" s="644"/>
      <c r="G8" s="644"/>
      <c r="H8" s="644"/>
      <c r="I8" s="649"/>
      <c r="J8" s="334"/>
      <c r="K8" s="538" t="s">
        <v>74</v>
      </c>
      <c r="L8" s="461">
        <v>1</v>
      </c>
      <c r="M8" s="542" t="s">
        <v>63</v>
      </c>
      <c r="N8" s="461">
        <v>2</v>
      </c>
      <c r="O8" s="542" t="s">
        <v>44</v>
      </c>
      <c r="P8" s="461">
        <v>3</v>
      </c>
      <c r="Q8" s="462" t="s">
        <v>108</v>
      </c>
      <c r="R8" s="463">
        <v>4</v>
      </c>
    </row>
    <row r="9" spans="1:18" ht="9.6" customHeight="1" x14ac:dyDescent="0.15">
      <c r="A9" s="310" t="s">
        <v>37</v>
      </c>
      <c r="B9" s="300" t="s">
        <v>38</v>
      </c>
      <c r="C9" s="456" t="str">
        <f>IFERROR(VLOOKUP(A9,$K$6:$L$21,2,FALSE),IFERROR(VLOOKUP(A9,$M$6:$N$21,2,FALSE),IFERROR(VLOOKUP(A9,$O$6:$P$21,2,FALSE),IFERROR(VLOOKUP(A9,$Q$6:$R$21,2,FALSE),"Nvt"))))</f>
        <v>Nvt</v>
      </c>
      <c r="D9" s="456" t="str">
        <f>IFERROR(VLOOKUP(A9,$K$24:$L$45,2,FALSE),IFERROR(VLOOKUP(A9,$M$24:$N$45,2,FALSE),IFERROR(VLOOKUP(A9,$O$24:$P$45,2,FALSE),"Nvt")))</f>
        <v>Nvt</v>
      </c>
      <c r="E9" s="456" t="str">
        <f>IFERROR(VLOOKUP(A9,$K$48:$L$73,2,FALSE),IFERROR(VLOOKUP(A9,$M$48:$N$73,2,FALSE),"Nvt"))</f>
        <v>Nvt</v>
      </c>
      <c r="F9" s="456" t="str">
        <f>IFERROR(VLOOKUP(A9,$K$76:$L$88,2,FALSE),IFERROR(VLOOKUP(A9,$M$76:$N$88,2,FALSE),"Nvt"))</f>
        <v>Nvt</v>
      </c>
      <c r="G9" s="456" t="str">
        <f>IFERROR(VLOOKUP(A9,$K$91:$L$99,2,FALSE),IFERROR(VLOOKUP(A9,$M$91:$N$99,2,FALSE),"Nvt"))</f>
        <v>Nvt</v>
      </c>
      <c r="H9" s="456" t="str">
        <f>IFERROR(VLOOKUP(A9,$K$102:$L$113,2,FALSE),"Nvt")</f>
        <v>Nvt</v>
      </c>
      <c r="I9" s="523" t="str">
        <f>D9</f>
        <v>Nvt</v>
      </c>
      <c r="K9" s="538" t="s">
        <v>76</v>
      </c>
      <c r="L9" s="461">
        <v>1</v>
      </c>
      <c r="M9" s="542" t="s">
        <v>65</v>
      </c>
      <c r="N9" s="461">
        <v>2</v>
      </c>
      <c r="O9" s="542" t="s">
        <v>78</v>
      </c>
      <c r="P9" s="461">
        <v>3</v>
      </c>
      <c r="Q9" s="462"/>
      <c r="R9" s="463">
        <v>4</v>
      </c>
    </row>
    <row r="10" spans="1:18" x14ac:dyDescent="0.15">
      <c r="A10" s="310" t="s">
        <v>39</v>
      </c>
      <c r="B10" s="300" t="s">
        <v>40</v>
      </c>
      <c r="C10" s="456">
        <f t="shared" ref="C10:C59" si="0">IFERROR(VLOOKUP(A10,$K$6:$L$21,2,FALSE),IFERROR(VLOOKUP(A10,$M$6:$N$21,2,FALSE),IFERROR(VLOOKUP(A10,$O$6:$P$21,2,FALSE),IFERROR(VLOOKUP(A10,$Q$6:$R$21,2,FALSE),"Nvt"))))</f>
        <v>2</v>
      </c>
      <c r="D10" s="456">
        <f t="shared" ref="D10:D59" si="1">IFERROR(VLOOKUP(A10,$K$24:$L$45,2,FALSE),IFERROR(VLOOKUP(A10,$M$24:$N$45,2,FALSE),IFERROR(VLOOKUP(A10,$O$24:$P$45,2,FALSE),"Nvt")))</f>
        <v>2</v>
      </c>
      <c r="E10" s="456">
        <f t="shared" ref="E10:E59" si="2">IFERROR(VLOOKUP(A10,$K$48:$L$73,2,FALSE),IFERROR(VLOOKUP(A10,$M$48:$N$73,2,FALSE),"Nvt"))</f>
        <v>2</v>
      </c>
      <c r="F10" s="456" t="str">
        <f t="shared" ref="F10:F59" si="3">IFERROR(VLOOKUP(A10,$K$76:$L$88,2,FALSE),IFERROR(VLOOKUP(A10,$M$76:$N$88,2,FALSE),"Nvt"))</f>
        <v>Nvt</v>
      </c>
      <c r="G10" s="456" t="str">
        <f t="shared" ref="G10:G59" si="4">IFERROR(VLOOKUP(A10,$K$91:$L$99,2,FALSE),IFERROR(VLOOKUP(A10,$M$91:$N$99,2,FALSE),"Nvt"))</f>
        <v>Nvt</v>
      </c>
      <c r="H10" s="456" t="str">
        <f t="shared" ref="H10:H59" si="5">IFERROR(VLOOKUP(A10,$K$102:$L$113,2,FALSE),"Nvt")</f>
        <v>Nvt</v>
      </c>
      <c r="I10" s="523">
        <f t="shared" ref="I10:I59" si="6">D10</f>
        <v>2</v>
      </c>
      <c r="K10" s="538" t="s">
        <v>82</v>
      </c>
      <c r="L10" s="461">
        <v>1</v>
      </c>
      <c r="M10" s="542" t="s">
        <v>80</v>
      </c>
      <c r="N10" s="461">
        <v>2</v>
      </c>
      <c r="O10" s="542" t="s">
        <v>84</v>
      </c>
      <c r="P10" s="461">
        <v>3</v>
      </c>
      <c r="Q10" s="462"/>
      <c r="R10" s="463">
        <v>4</v>
      </c>
    </row>
    <row r="11" spans="1:18" x14ac:dyDescent="0.15">
      <c r="A11" s="310" t="s">
        <v>42</v>
      </c>
      <c r="B11" s="300" t="s">
        <v>43</v>
      </c>
      <c r="C11" s="456">
        <f t="shared" si="0"/>
        <v>3</v>
      </c>
      <c r="D11" s="456">
        <f t="shared" si="1"/>
        <v>3</v>
      </c>
      <c r="E11" s="456">
        <f t="shared" si="2"/>
        <v>1</v>
      </c>
      <c r="F11" s="456" t="str">
        <f t="shared" si="3"/>
        <v>Nvt</v>
      </c>
      <c r="G11" s="456" t="str">
        <f t="shared" si="4"/>
        <v>Nvt</v>
      </c>
      <c r="H11" s="456" t="str">
        <f t="shared" si="5"/>
        <v>Nvt</v>
      </c>
      <c r="I11" s="523">
        <f t="shared" si="6"/>
        <v>3</v>
      </c>
      <c r="K11" s="538" t="s">
        <v>94</v>
      </c>
      <c r="L11" s="461">
        <v>1</v>
      </c>
      <c r="M11" s="542" t="s">
        <v>92</v>
      </c>
      <c r="N11" s="461">
        <v>2</v>
      </c>
      <c r="O11" s="542" t="s">
        <v>87</v>
      </c>
      <c r="P11" s="461">
        <v>3</v>
      </c>
      <c r="Q11" s="462"/>
      <c r="R11" s="463">
        <v>4</v>
      </c>
    </row>
    <row r="12" spans="1:18" x14ac:dyDescent="0.15">
      <c r="A12" s="310" t="s">
        <v>44</v>
      </c>
      <c r="B12" s="300" t="s">
        <v>45</v>
      </c>
      <c r="C12" s="456">
        <f t="shared" si="0"/>
        <v>3</v>
      </c>
      <c r="D12" s="456">
        <f t="shared" si="1"/>
        <v>3</v>
      </c>
      <c r="E12" s="456">
        <f t="shared" si="2"/>
        <v>2</v>
      </c>
      <c r="F12" s="456" t="str">
        <f t="shared" si="3"/>
        <v>Nvt</v>
      </c>
      <c r="G12" s="456" t="str">
        <f t="shared" si="4"/>
        <v>Nvt</v>
      </c>
      <c r="H12" s="456" t="str">
        <f t="shared" si="5"/>
        <v>Nvt</v>
      </c>
      <c r="I12" s="523">
        <f t="shared" si="6"/>
        <v>3</v>
      </c>
      <c r="K12" s="538" t="s">
        <v>100</v>
      </c>
      <c r="L12" s="461">
        <v>1</v>
      </c>
      <c r="M12" s="542" t="s">
        <v>98</v>
      </c>
      <c r="N12" s="461">
        <v>2</v>
      </c>
      <c r="O12" s="542" t="s">
        <v>96</v>
      </c>
      <c r="P12" s="461">
        <v>3</v>
      </c>
      <c r="Q12" s="462"/>
      <c r="R12" s="463">
        <v>4</v>
      </c>
    </row>
    <row r="13" spans="1:18" x14ac:dyDescent="0.15">
      <c r="A13" s="310" t="s">
        <v>46</v>
      </c>
      <c r="B13" s="300" t="s">
        <v>47</v>
      </c>
      <c r="C13" s="456" t="str">
        <f t="shared" si="0"/>
        <v>Nvt</v>
      </c>
      <c r="D13" s="456" t="str">
        <f t="shared" si="1"/>
        <v>Nvt</v>
      </c>
      <c r="E13" s="456" t="str">
        <f t="shared" si="2"/>
        <v>Nvt</v>
      </c>
      <c r="F13" s="456" t="str">
        <f t="shared" si="3"/>
        <v>Nvt</v>
      </c>
      <c r="G13" s="456" t="str">
        <f t="shared" si="4"/>
        <v>Nvt</v>
      </c>
      <c r="H13" s="456" t="str">
        <f t="shared" si="5"/>
        <v>Nvt</v>
      </c>
      <c r="I13" s="523" t="str">
        <f t="shared" si="6"/>
        <v>Nvt</v>
      </c>
      <c r="K13" s="538" t="s">
        <v>104</v>
      </c>
      <c r="L13" s="461">
        <v>1</v>
      </c>
      <c r="M13" s="542" t="s">
        <v>102</v>
      </c>
      <c r="N13" s="461">
        <v>2</v>
      </c>
      <c r="O13" s="542" t="s">
        <v>124</v>
      </c>
      <c r="P13" s="461">
        <v>3</v>
      </c>
      <c r="Q13" s="462"/>
      <c r="R13" s="463">
        <v>4</v>
      </c>
    </row>
    <row r="14" spans="1:18" x14ac:dyDescent="0.15">
      <c r="A14" s="310" t="s">
        <v>48</v>
      </c>
      <c r="B14" s="300" t="s">
        <v>49</v>
      </c>
      <c r="C14" s="456" t="str">
        <f t="shared" si="0"/>
        <v>Nvt</v>
      </c>
      <c r="D14" s="456" t="str">
        <f t="shared" si="1"/>
        <v>Nvt</v>
      </c>
      <c r="E14" s="456" t="str">
        <f t="shared" si="2"/>
        <v>Nvt</v>
      </c>
      <c r="F14" s="456" t="str">
        <f t="shared" si="3"/>
        <v>Nvt</v>
      </c>
      <c r="G14" s="456" t="str">
        <f t="shared" si="4"/>
        <v>Nvt</v>
      </c>
      <c r="H14" s="456" t="str">
        <f t="shared" si="5"/>
        <v>Nvt</v>
      </c>
      <c r="I14" s="523" t="str">
        <f t="shared" si="6"/>
        <v>Nvt</v>
      </c>
      <c r="K14" s="538" t="s">
        <v>122</v>
      </c>
      <c r="L14" s="461">
        <v>1</v>
      </c>
      <c r="M14" s="542" t="s">
        <v>112</v>
      </c>
      <c r="N14" s="461">
        <v>2</v>
      </c>
      <c r="O14" s="483"/>
      <c r="P14" s="461">
        <v>3</v>
      </c>
      <c r="Q14" s="462"/>
      <c r="R14" s="463">
        <v>4</v>
      </c>
    </row>
    <row r="15" spans="1:18" x14ac:dyDescent="0.15">
      <c r="A15" s="310" t="s">
        <v>50</v>
      </c>
      <c r="B15" s="300" t="s">
        <v>51</v>
      </c>
      <c r="C15" s="456" t="str">
        <f t="shared" si="0"/>
        <v>Nvt</v>
      </c>
      <c r="D15" s="456" t="str">
        <f t="shared" si="1"/>
        <v>Nvt</v>
      </c>
      <c r="E15" s="456" t="str">
        <f t="shared" si="2"/>
        <v>Nvt</v>
      </c>
      <c r="F15" s="456" t="str">
        <f t="shared" si="3"/>
        <v>Nvt</v>
      </c>
      <c r="G15" s="456" t="str">
        <f t="shared" si="4"/>
        <v>Nvt</v>
      </c>
      <c r="H15" s="456" t="str">
        <f t="shared" si="5"/>
        <v>Nvt</v>
      </c>
      <c r="I15" s="523" t="str">
        <f t="shared" si="6"/>
        <v>Nvt</v>
      </c>
      <c r="K15" s="538" t="s">
        <v>106</v>
      </c>
      <c r="L15" s="461">
        <v>1</v>
      </c>
      <c r="M15" s="542" t="s">
        <v>114</v>
      </c>
      <c r="N15" s="461">
        <v>2</v>
      </c>
      <c r="O15" s="483"/>
      <c r="P15" s="461">
        <v>3</v>
      </c>
      <c r="Q15" s="462"/>
      <c r="R15" s="463">
        <v>4</v>
      </c>
    </row>
    <row r="16" spans="1:18" x14ac:dyDescent="0.15">
      <c r="A16" s="310" t="s">
        <v>52</v>
      </c>
      <c r="B16" s="300" t="s">
        <v>53</v>
      </c>
      <c r="C16" s="456" t="str">
        <f t="shared" si="0"/>
        <v>Nvt</v>
      </c>
      <c r="D16" s="456" t="str">
        <f t="shared" si="1"/>
        <v>Nvt</v>
      </c>
      <c r="E16" s="456" t="str">
        <f t="shared" si="2"/>
        <v>Nvt</v>
      </c>
      <c r="F16" s="456" t="str">
        <f t="shared" si="3"/>
        <v>Nvt</v>
      </c>
      <c r="G16" s="456" t="str">
        <f t="shared" si="4"/>
        <v>Nvt</v>
      </c>
      <c r="H16" s="456" t="str">
        <f t="shared" si="5"/>
        <v>Nvt</v>
      </c>
      <c r="I16" s="523" t="str">
        <f t="shared" si="6"/>
        <v>Nvt</v>
      </c>
      <c r="K16" s="538"/>
      <c r="L16" s="461">
        <v>1</v>
      </c>
      <c r="M16" s="542" t="s">
        <v>126</v>
      </c>
      <c r="N16" s="461">
        <v>2</v>
      </c>
      <c r="O16" s="483"/>
      <c r="P16" s="461">
        <v>3</v>
      </c>
      <c r="Q16" s="462"/>
      <c r="R16" s="463">
        <v>4</v>
      </c>
    </row>
    <row r="17" spans="1:18" x14ac:dyDescent="0.15">
      <c r="A17" s="310" t="s">
        <v>54</v>
      </c>
      <c r="B17" s="300" t="s">
        <v>55</v>
      </c>
      <c r="C17" s="456" t="str">
        <f t="shared" si="0"/>
        <v>Nvt</v>
      </c>
      <c r="D17" s="456" t="str">
        <f t="shared" si="1"/>
        <v>Nvt</v>
      </c>
      <c r="E17" s="456" t="str">
        <f t="shared" si="2"/>
        <v>Nvt</v>
      </c>
      <c r="F17" s="456" t="str">
        <f t="shared" si="3"/>
        <v>Nvt</v>
      </c>
      <c r="G17" s="456" t="str">
        <f t="shared" si="4"/>
        <v>Nvt</v>
      </c>
      <c r="H17" s="456" t="str">
        <f t="shared" si="5"/>
        <v>Nvt</v>
      </c>
      <c r="I17" s="523" t="str">
        <f t="shared" si="6"/>
        <v>Nvt</v>
      </c>
      <c r="K17" s="538"/>
      <c r="L17" s="461">
        <v>1</v>
      </c>
      <c r="M17" s="483"/>
      <c r="N17" s="461">
        <v>2</v>
      </c>
      <c r="O17" s="483"/>
      <c r="P17" s="461">
        <v>3</v>
      </c>
      <c r="Q17" s="462"/>
      <c r="R17" s="463">
        <v>4</v>
      </c>
    </row>
    <row r="18" spans="1:18" x14ac:dyDescent="0.15">
      <c r="A18" s="310" t="s">
        <v>56</v>
      </c>
      <c r="B18" s="300" t="s">
        <v>57</v>
      </c>
      <c r="C18" s="456" t="str">
        <f t="shared" si="0"/>
        <v>Nvt</v>
      </c>
      <c r="D18" s="456" t="str">
        <f t="shared" si="1"/>
        <v>Nvt</v>
      </c>
      <c r="E18" s="456" t="str">
        <f t="shared" si="2"/>
        <v>Nvt</v>
      </c>
      <c r="F18" s="456" t="str">
        <f t="shared" si="3"/>
        <v>Nvt</v>
      </c>
      <c r="G18" s="456" t="str">
        <f t="shared" si="4"/>
        <v>Nvt</v>
      </c>
      <c r="H18" s="456" t="str">
        <f t="shared" si="5"/>
        <v>Nvt</v>
      </c>
      <c r="I18" s="523" t="str">
        <f t="shared" si="6"/>
        <v>Nvt</v>
      </c>
      <c r="K18" s="538"/>
      <c r="L18" s="461">
        <v>1</v>
      </c>
      <c r="M18" s="483"/>
      <c r="N18" s="461">
        <v>2</v>
      </c>
      <c r="O18" s="483"/>
      <c r="P18" s="461">
        <v>3</v>
      </c>
      <c r="Q18" s="462"/>
      <c r="R18" s="463">
        <v>4</v>
      </c>
    </row>
    <row r="19" spans="1:18" x14ac:dyDescent="0.15">
      <c r="A19" s="310" t="s">
        <v>58</v>
      </c>
      <c r="B19" s="300" t="s">
        <v>59</v>
      </c>
      <c r="C19" s="456" t="str">
        <f t="shared" si="0"/>
        <v>Nvt</v>
      </c>
      <c r="D19" s="456" t="str">
        <f t="shared" si="1"/>
        <v>Nvt</v>
      </c>
      <c r="E19" s="456" t="str">
        <f t="shared" si="2"/>
        <v>Nvt</v>
      </c>
      <c r="F19" s="456" t="str">
        <f t="shared" si="3"/>
        <v>Nvt</v>
      </c>
      <c r="G19" s="456" t="str">
        <f t="shared" si="4"/>
        <v>Nvt</v>
      </c>
      <c r="H19" s="456" t="str">
        <f t="shared" si="5"/>
        <v>Nvt</v>
      </c>
      <c r="I19" s="523" t="str">
        <f t="shared" si="6"/>
        <v>Nvt</v>
      </c>
      <c r="K19" s="539"/>
      <c r="L19" s="461">
        <v>1</v>
      </c>
      <c r="M19" s="483"/>
      <c r="N19" s="461">
        <v>2</v>
      </c>
      <c r="O19" s="483"/>
      <c r="P19" s="461">
        <v>3</v>
      </c>
      <c r="Q19" s="464"/>
      <c r="R19" s="463">
        <v>4</v>
      </c>
    </row>
    <row r="20" spans="1:18" x14ac:dyDescent="0.15">
      <c r="A20" s="310" t="s">
        <v>61</v>
      </c>
      <c r="B20" s="300" t="s">
        <v>62</v>
      </c>
      <c r="C20" s="456" t="str">
        <f t="shared" si="0"/>
        <v>Nvt</v>
      </c>
      <c r="D20" s="456">
        <f t="shared" si="1"/>
        <v>2</v>
      </c>
      <c r="E20" s="456">
        <f t="shared" si="2"/>
        <v>1</v>
      </c>
      <c r="F20" s="456" t="str">
        <f t="shared" si="3"/>
        <v>Nvt</v>
      </c>
      <c r="G20" s="456">
        <f t="shared" si="4"/>
        <v>2</v>
      </c>
      <c r="H20" s="456" t="str">
        <f t="shared" si="5"/>
        <v>Nvt</v>
      </c>
      <c r="I20" s="523">
        <f t="shared" si="6"/>
        <v>2</v>
      </c>
      <c r="K20" s="539"/>
      <c r="L20" s="461">
        <v>1</v>
      </c>
      <c r="M20" s="483"/>
      <c r="N20" s="461">
        <v>2</v>
      </c>
      <c r="O20" s="483"/>
      <c r="P20" s="461">
        <v>3</v>
      </c>
      <c r="Q20" s="464"/>
      <c r="R20" s="463">
        <v>4</v>
      </c>
    </row>
    <row r="21" spans="1:18" x14ac:dyDescent="0.15">
      <c r="A21" s="310" t="s">
        <v>63</v>
      </c>
      <c r="B21" s="300" t="s">
        <v>64</v>
      </c>
      <c r="C21" s="456">
        <f t="shared" si="0"/>
        <v>2</v>
      </c>
      <c r="D21" s="456">
        <f t="shared" si="1"/>
        <v>1</v>
      </c>
      <c r="E21" s="456">
        <f t="shared" si="2"/>
        <v>1</v>
      </c>
      <c r="F21" s="456" t="str">
        <f t="shared" si="3"/>
        <v>Nvt</v>
      </c>
      <c r="G21" s="456">
        <f t="shared" si="4"/>
        <v>2</v>
      </c>
      <c r="H21" s="456" t="str">
        <f t="shared" si="5"/>
        <v>Nvt</v>
      </c>
      <c r="I21" s="523">
        <f t="shared" si="6"/>
        <v>1</v>
      </c>
      <c r="K21" s="540"/>
      <c r="L21" s="466">
        <v>1</v>
      </c>
      <c r="M21" s="543"/>
      <c r="N21" s="466">
        <v>2</v>
      </c>
      <c r="O21" s="543"/>
      <c r="P21" s="466">
        <v>3</v>
      </c>
      <c r="Q21" s="467"/>
      <c r="R21" s="463">
        <v>4</v>
      </c>
    </row>
    <row r="22" spans="1:18" x14ac:dyDescent="0.15">
      <c r="A22" s="310" t="s">
        <v>65</v>
      </c>
      <c r="B22" s="300" t="s">
        <v>66</v>
      </c>
      <c r="C22" s="456">
        <f t="shared" si="0"/>
        <v>2</v>
      </c>
      <c r="D22" s="456">
        <f t="shared" si="1"/>
        <v>1</v>
      </c>
      <c r="E22" s="456">
        <f t="shared" si="2"/>
        <v>1</v>
      </c>
      <c r="F22" s="456" t="str">
        <f t="shared" si="3"/>
        <v>Nvt</v>
      </c>
      <c r="G22" s="456" t="str">
        <f t="shared" si="4"/>
        <v>Nvt</v>
      </c>
      <c r="H22" s="456" t="str">
        <f t="shared" si="5"/>
        <v>Nvt</v>
      </c>
      <c r="I22" s="523">
        <f t="shared" si="6"/>
        <v>1</v>
      </c>
    </row>
    <row r="23" spans="1:18" x14ac:dyDescent="0.15">
      <c r="A23" s="310" t="s">
        <v>68</v>
      </c>
      <c r="B23" s="300" t="s">
        <v>69</v>
      </c>
      <c r="C23" s="456">
        <f t="shared" si="0"/>
        <v>1</v>
      </c>
      <c r="D23" s="456">
        <f t="shared" si="1"/>
        <v>1</v>
      </c>
      <c r="E23" s="456" t="str">
        <f t="shared" si="2"/>
        <v>Nvt</v>
      </c>
      <c r="F23" s="456">
        <f t="shared" si="3"/>
        <v>1</v>
      </c>
      <c r="G23" s="456" t="str">
        <f t="shared" si="4"/>
        <v>Nvt</v>
      </c>
      <c r="H23" s="456" t="str">
        <f t="shared" si="5"/>
        <v>Nvt</v>
      </c>
      <c r="I23" s="523">
        <f t="shared" si="6"/>
        <v>1</v>
      </c>
      <c r="K23" s="432" t="s">
        <v>231</v>
      </c>
      <c r="L23" s="432"/>
    </row>
    <row r="24" spans="1:18" x14ac:dyDescent="0.15">
      <c r="A24" s="310" t="s">
        <v>74</v>
      </c>
      <c r="B24" s="300" t="s">
        <v>75</v>
      </c>
      <c r="C24" s="456">
        <f t="shared" si="0"/>
        <v>1</v>
      </c>
      <c r="D24" s="456">
        <f t="shared" si="1"/>
        <v>1</v>
      </c>
      <c r="E24" s="456" t="str">
        <f t="shared" si="2"/>
        <v>Nvt</v>
      </c>
      <c r="F24" s="456" t="str">
        <f t="shared" si="3"/>
        <v>Nvt</v>
      </c>
      <c r="G24" s="456" t="str">
        <f t="shared" si="4"/>
        <v>Nvt</v>
      </c>
      <c r="H24" s="456" t="str">
        <f t="shared" si="5"/>
        <v>Nvt</v>
      </c>
      <c r="I24" s="523">
        <f t="shared" si="6"/>
        <v>1</v>
      </c>
      <c r="K24" s="457" t="s">
        <v>220</v>
      </c>
      <c r="L24" s="458"/>
      <c r="M24" s="458" t="s">
        <v>221</v>
      </c>
      <c r="N24" s="458"/>
      <c r="O24" s="459" t="s">
        <v>222</v>
      </c>
      <c r="P24" s="458"/>
      <c r="Q24" s="468"/>
    </row>
    <row r="25" spans="1:18" x14ac:dyDescent="0.15">
      <c r="A25" s="310" t="s">
        <v>76</v>
      </c>
      <c r="B25" s="300" t="s">
        <v>77</v>
      </c>
      <c r="C25" s="456">
        <f t="shared" si="0"/>
        <v>1</v>
      </c>
      <c r="D25" s="456">
        <f t="shared" si="1"/>
        <v>1</v>
      </c>
      <c r="E25" s="456">
        <f t="shared" si="2"/>
        <v>1</v>
      </c>
      <c r="F25" s="456" t="str">
        <f t="shared" si="3"/>
        <v>Nvt</v>
      </c>
      <c r="G25" s="456">
        <f t="shared" si="4"/>
        <v>2</v>
      </c>
      <c r="H25" s="456" t="str">
        <f t="shared" si="5"/>
        <v>Nvt</v>
      </c>
      <c r="I25" s="523">
        <f t="shared" si="6"/>
        <v>1</v>
      </c>
      <c r="K25" s="537" t="s">
        <v>68</v>
      </c>
      <c r="L25" s="461">
        <v>1</v>
      </c>
      <c r="M25" s="541" t="s">
        <v>124</v>
      </c>
      <c r="N25" s="461">
        <v>2</v>
      </c>
      <c r="O25" s="541" t="s">
        <v>42</v>
      </c>
      <c r="P25" s="461">
        <v>3</v>
      </c>
      <c r="Q25" s="464"/>
    </row>
    <row r="26" spans="1:18" x14ac:dyDescent="0.15">
      <c r="A26" s="310" t="s">
        <v>78</v>
      </c>
      <c r="B26" s="300" t="s">
        <v>79</v>
      </c>
      <c r="C26" s="456">
        <f t="shared" si="0"/>
        <v>3</v>
      </c>
      <c r="D26" s="456">
        <f t="shared" si="1"/>
        <v>2</v>
      </c>
      <c r="E26" s="456">
        <f t="shared" si="2"/>
        <v>2</v>
      </c>
      <c r="F26" s="456">
        <f t="shared" si="3"/>
        <v>2</v>
      </c>
      <c r="G26" s="456" t="str">
        <f t="shared" si="4"/>
        <v>Nvt</v>
      </c>
      <c r="H26" s="456" t="str">
        <f t="shared" si="5"/>
        <v>Nvt</v>
      </c>
      <c r="I26" s="523">
        <f t="shared" si="6"/>
        <v>2</v>
      </c>
      <c r="K26" s="538" t="s">
        <v>74</v>
      </c>
      <c r="L26" s="461">
        <v>1</v>
      </c>
      <c r="M26" s="542" t="s">
        <v>78</v>
      </c>
      <c r="N26" s="461">
        <v>2</v>
      </c>
      <c r="O26" s="542" t="s">
        <v>44</v>
      </c>
      <c r="P26" s="461">
        <v>3</v>
      </c>
      <c r="Q26" s="464"/>
    </row>
    <row r="27" spans="1:18" x14ac:dyDescent="0.15">
      <c r="A27" s="310" t="s">
        <v>80</v>
      </c>
      <c r="B27" s="300" t="s">
        <v>81</v>
      </c>
      <c r="C27" s="456">
        <f t="shared" si="0"/>
        <v>2</v>
      </c>
      <c r="D27" s="456">
        <f t="shared" si="1"/>
        <v>2</v>
      </c>
      <c r="E27" s="456" t="str">
        <f t="shared" si="2"/>
        <v>Nvt</v>
      </c>
      <c r="F27" s="456" t="str">
        <f t="shared" si="3"/>
        <v>Nvt</v>
      </c>
      <c r="G27" s="456">
        <f t="shared" si="4"/>
        <v>1</v>
      </c>
      <c r="H27" s="456" t="str">
        <f t="shared" si="5"/>
        <v>Nvt</v>
      </c>
      <c r="I27" s="523">
        <f t="shared" si="6"/>
        <v>2</v>
      </c>
      <c r="K27" s="538" t="s">
        <v>76</v>
      </c>
      <c r="L27" s="461">
        <v>1</v>
      </c>
      <c r="M27" s="542" t="s">
        <v>39</v>
      </c>
      <c r="N27" s="461">
        <v>2</v>
      </c>
      <c r="O27" s="542" t="s">
        <v>84</v>
      </c>
      <c r="P27" s="461">
        <v>3</v>
      </c>
      <c r="Q27" s="464"/>
    </row>
    <row r="28" spans="1:18" x14ac:dyDescent="0.15">
      <c r="A28" s="310" t="s">
        <v>82</v>
      </c>
      <c r="B28" s="300" t="s">
        <v>83</v>
      </c>
      <c r="C28" s="456">
        <f t="shared" si="0"/>
        <v>1</v>
      </c>
      <c r="D28" s="456">
        <f t="shared" si="1"/>
        <v>2</v>
      </c>
      <c r="E28" s="456" t="str">
        <f t="shared" si="2"/>
        <v>Nvt</v>
      </c>
      <c r="F28" s="456" t="str">
        <f t="shared" si="3"/>
        <v>Nvt</v>
      </c>
      <c r="G28" s="456">
        <f t="shared" si="4"/>
        <v>1</v>
      </c>
      <c r="H28" s="456" t="str">
        <f t="shared" si="5"/>
        <v>Nvt</v>
      </c>
      <c r="I28" s="523">
        <f t="shared" si="6"/>
        <v>2</v>
      </c>
      <c r="K28" s="538" t="s">
        <v>94</v>
      </c>
      <c r="L28" s="461">
        <v>1</v>
      </c>
      <c r="M28" s="542" t="s">
        <v>61</v>
      </c>
      <c r="N28" s="461">
        <v>2</v>
      </c>
      <c r="O28" s="542" t="s">
        <v>87</v>
      </c>
      <c r="P28" s="461">
        <v>3</v>
      </c>
      <c r="Q28" s="464"/>
    </row>
    <row r="29" spans="1:18" x14ac:dyDescent="0.15">
      <c r="A29" s="310" t="s">
        <v>84</v>
      </c>
      <c r="B29" s="300" t="s">
        <v>85</v>
      </c>
      <c r="C29" s="456">
        <f t="shared" si="0"/>
        <v>3</v>
      </c>
      <c r="D29" s="456">
        <f t="shared" si="1"/>
        <v>3</v>
      </c>
      <c r="E29" s="456">
        <f t="shared" si="2"/>
        <v>2</v>
      </c>
      <c r="F29" s="456">
        <f t="shared" si="3"/>
        <v>2</v>
      </c>
      <c r="G29" s="456" t="str">
        <f t="shared" si="4"/>
        <v>Nvt</v>
      </c>
      <c r="H29" s="456" t="str">
        <f t="shared" si="5"/>
        <v>Nvt</v>
      </c>
      <c r="I29" s="523">
        <f t="shared" si="6"/>
        <v>3</v>
      </c>
      <c r="K29" s="538" t="s">
        <v>100</v>
      </c>
      <c r="L29" s="461">
        <v>1</v>
      </c>
      <c r="M29" s="542" t="s">
        <v>80</v>
      </c>
      <c r="N29" s="461">
        <v>2</v>
      </c>
      <c r="O29" s="542" t="s">
        <v>90</v>
      </c>
      <c r="P29" s="461">
        <v>3</v>
      </c>
      <c r="Q29" s="464"/>
    </row>
    <row r="30" spans="1:18" x14ac:dyDescent="0.15">
      <c r="A30" s="310" t="s">
        <v>87</v>
      </c>
      <c r="B30" s="300" t="s">
        <v>88</v>
      </c>
      <c r="C30" s="456">
        <f t="shared" si="0"/>
        <v>3</v>
      </c>
      <c r="D30" s="456">
        <f t="shared" si="1"/>
        <v>3</v>
      </c>
      <c r="E30" s="456">
        <f t="shared" si="2"/>
        <v>2</v>
      </c>
      <c r="F30" s="456">
        <f t="shared" si="3"/>
        <v>2</v>
      </c>
      <c r="G30" s="456" t="str">
        <f t="shared" si="4"/>
        <v>Nvt</v>
      </c>
      <c r="H30" s="456" t="str">
        <f t="shared" si="5"/>
        <v>Nvt</v>
      </c>
      <c r="I30" s="523">
        <f t="shared" si="6"/>
        <v>3</v>
      </c>
      <c r="K30" s="538" t="s">
        <v>106</v>
      </c>
      <c r="L30" s="461">
        <v>1</v>
      </c>
      <c r="M30" s="542" t="s">
        <v>82</v>
      </c>
      <c r="N30" s="461">
        <v>2</v>
      </c>
      <c r="O30" s="542" t="s">
        <v>96</v>
      </c>
      <c r="P30" s="461">
        <v>3</v>
      </c>
      <c r="Q30" s="464"/>
    </row>
    <row r="31" spans="1:18" x14ac:dyDescent="0.15">
      <c r="A31" s="310" t="s">
        <v>90</v>
      </c>
      <c r="B31" s="300" t="s">
        <v>91</v>
      </c>
      <c r="C31" s="456">
        <f t="shared" si="0"/>
        <v>4</v>
      </c>
      <c r="D31" s="456">
        <f t="shared" si="1"/>
        <v>3</v>
      </c>
      <c r="E31" s="456">
        <f t="shared" si="2"/>
        <v>2</v>
      </c>
      <c r="F31" s="456" t="str">
        <f t="shared" si="3"/>
        <v>Nvt</v>
      </c>
      <c r="G31" s="456" t="str">
        <f t="shared" si="4"/>
        <v>Nvt</v>
      </c>
      <c r="H31" s="456" t="str">
        <f t="shared" si="5"/>
        <v>Nvt</v>
      </c>
      <c r="I31" s="523">
        <f t="shared" si="6"/>
        <v>3</v>
      </c>
      <c r="K31" s="538" t="s">
        <v>108</v>
      </c>
      <c r="L31" s="461">
        <v>1</v>
      </c>
      <c r="M31" s="542" t="s">
        <v>98</v>
      </c>
      <c r="N31" s="461">
        <v>2</v>
      </c>
      <c r="O31" s="542" t="s">
        <v>86</v>
      </c>
      <c r="P31" s="461">
        <v>3</v>
      </c>
      <c r="Q31" s="464"/>
    </row>
    <row r="32" spans="1:18" x14ac:dyDescent="0.15">
      <c r="A32" s="310" t="s">
        <v>92</v>
      </c>
      <c r="B32" s="300" t="s">
        <v>93</v>
      </c>
      <c r="C32" s="456">
        <f t="shared" si="0"/>
        <v>2</v>
      </c>
      <c r="D32" s="456">
        <f t="shared" si="1"/>
        <v>1</v>
      </c>
      <c r="E32" s="456">
        <f t="shared" si="2"/>
        <v>2</v>
      </c>
      <c r="F32" s="456">
        <f t="shared" si="3"/>
        <v>2</v>
      </c>
      <c r="G32" s="456" t="str">
        <f t="shared" si="4"/>
        <v>Nvt</v>
      </c>
      <c r="H32" s="456" t="str">
        <f t="shared" si="5"/>
        <v>Nvt</v>
      </c>
      <c r="I32" s="523">
        <f t="shared" si="6"/>
        <v>1</v>
      </c>
      <c r="K32" s="538" t="s">
        <v>126</v>
      </c>
      <c r="L32" s="461">
        <v>1</v>
      </c>
      <c r="M32" s="542" t="s">
        <v>102</v>
      </c>
      <c r="N32" s="461">
        <v>2</v>
      </c>
      <c r="O32" s="542" t="s">
        <v>89</v>
      </c>
      <c r="P32" s="461">
        <v>3</v>
      </c>
      <c r="Q32" s="464"/>
    </row>
    <row r="33" spans="1:17" x14ac:dyDescent="0.15">
      <c r="A33" s="310" t="s">
        <v>94</v>
      </c>
      <c r="B33" s="300" t="s">
        <v>95</v>
      </c>
      <c r="C33" s="456">
        <f t="shared" si="0"/>
        <v>1</v>
      </c>
      <c r="D33" s="456">
        <f t="shared" si="1"/>
        <v>1</v>
      </c>
      <c r="E33" s="456">
        <f t="shared" si="2"/>
        <v>2</v>
      </c>
      <c r="F33" s="456" t="str">
        <f t="shared" si="3"/>
        <v>Nvt</v>
      </c>
      <c r="G33" s="456" t="str">
        <f t="shared" si="4"/>
        <v>Nvt</v>
      </c>
      <c r="H33" s="456" t="str">
        <f t="shared" si="5"/>
        <v>Nvt</v>
      </c>
      <c r="I33" s="523">
        <f t="shared" si="6"/>
        <v>1</v>
      </c>
      <c r="K33" s="538" t="s">
        <v>143</v>
      </c>
      <c r="L33" s="461">
        <v>1</v>
      </c>
      <c r="M33" s="542" t="s">
        <v>112</v>
      </c>
      <c r="N33" s="461">
        <v>2</v>
      </c>
      <c r="O33" s="542"/>
      <c r="P33" s="461">
        <v>3</v>
      </c>
      <c r="Q33" s="464"/>
    </row>
    <row r="34" spans="1:17" x14ac:dyDescent="0.15">
      <c r="A34" s="310" t="s">
        <v>96</v>
      </c>
      <c r="B34" s="300" t="s">
        <v>97</v>
      </c>
      <c r="C34" s="456">
        <f t="shared" si="0"/>
        <v>3</v>
      </c>
      <c r="D34" s="456">
        <f t="shared" si="1"/>
        <v>3</v>
      </c>
      <c r="E34" s="456">
        <f t="shared" si="2"/>
        <v>2</v>
      </c>
      <c r="F34" s="456">
        <f t="shared" si="3"/>
        <v>2</v>
      </c>
      <c r="G34" s="456" t="str">
        <f t="shared" si="4"/>
        <v>Nvt</v>
      </c>
      <c r="H34" s="456" t="str">
        <f t="shared" si="5"/>
        <v>Nvt</v>
      </c>
      <c r="I34" s="523">
        <f t="shared" si="6"/>
        <v>3</v>
      </c>
      <c r="K34" s="538" t="s">
        <v>145</v>
      </c>
      <c r="L34" s="461">
        <v>1</v>
      </c>
      <c r="M34" s="542" t="s">
        <v>114</v>
      </c>
      <c r="N34" s="461">
        <v>2</v>
      </c>
      <c r="O34" s="542"/>
      <c r="P34" s="461">
        <v>3</v>
      </c>
      <c r="Q34" s="464"/>
    </row>
    <row r="35" spans="1:17" x14ac:dyDescent="0.15">
      <c r="A35" s="310" t="s">
        <v>98</v>
      </c>
      <c r="B35" s="300" t="s">
        <v>99</v>
      </c>
      <c r="C35" s="456">
        <f t="shared" si="0"/>
        <v>2</v>
      </c>
      <c r="D35" s="456">
        <f t="shared" si="1"/>
        <v>2</v>
      </c>
      <c r="E35" s="456">
        <f t="shared" si="2"/>
        <v>2</v>
      </c>
      <c r="F35" s="456" t="str">
        <f t="shared" si="3"/>
        <v>Nvt</v>
      </c>
      <c r="G35" s="456" t="str">
        <f t="shared" si="4"/>
        <v>Nvt</v>
      </c>
      <c r="H35" s="456" t="str">
        <f t="shared" si="5"/>
        <v>Nvt</v>
      </c>
      <c r="I35" s="523">
        <f t="shared" si="6"/>
        <v>2</v>
      </c>
      <c r="K35" s="538" t="s">
        <v>63</v>
      </c>
      <c r="L35" s="461">
        <v>1</v>
      </c>
      <c r="M35" s="542" t="s">
        <v>116</v>
      </c>
      <c r="N35" s="461">
        <v>2</v>
      </c>
      <c r="O35" s="542"/>
      <c r="P35" s="461">
        <v>3</v>
      </c>
      <c r="Q35" s="464"/>
    </row>
    <row r="36" spans="1:17" x14ac:dyDescent="0.15">
      <c r="A36" s="310" t="s">
        <v>100</v>
      </c>
      <c r="B36" s="300" t="s">
        <v>101</v>
      </c>
      <c r="C36" s="456">
        <f t="shared" si="0"/>
        <v>1</v>
      </c>
      <c r="D36" s="456">
        <f t="shared" si="1"/>
        <v>1</v>
      </c>
      <c r="E36" s="456">
        <f t="shared" si="2"/>
        <v>1</v>
      </c>
      <c r="F36" s="456">
        <f t="shared" si="3"/>
        <v>1</v>
      </c>
      <c r="G36" s="456" t="str">
        <f t="shared" si="4"/>
        <v>Nvt</v>
      </c>
      <c r="H36" s="456" t="str">
        <f t="shared" si="5"/>
        <v>Nvt</v>
      </c>
      <c r="I36" s="523">
        <f t="shared" si="6"/>
        <v>1</v>
      </c>
      <c r="K36" s="538" t="s">
        <v>65</v>
      </c>
      <c r="L36" s="461">
        <v>1</v>
      </c>
      <c r="M36" s="542" t="s">
        <v>128</v>
      </c>
      <c r="N36" s="461">
        <v>2</v>
      </c>
      <c r="O36" s="542"/>
      <c r="P36" s="461">
        <v>3</v>
      </c>
      <c r="Q36" s="464"/>
    </row>
    <row r="37" spans="1:17" x14ac:dyDescent="0.15">
      <c r="A37" s="310" t="s">
        <v>102</v>
      </c>
      <c r="B37" s="300" t="s">
        <v>103</v>
      </c>
      <c r="C37" s="456">
        <f t="shared" si="0"/>
        <v>2</v>
      </c>
      <c r="D37" s="456">
        <f t="shared" si="1"/>
        <v>2</v>
      </c>
      <c r="E37" s="456">
        <f t="shared" si="2"/>
        <v>2</v>
      </c>
      <c r="F37" s="456">
        <f t="shared" si="3"/>
        <v>1</v>
      </c>
      <c r="G37" s="456" t="str">
        <f t="shared" si="4"/>
        <v>Nvt</v>
      </c>
      <c r="H37" s="456" t="str">
        <f t="shared" si="5"/>
        <v>Nvt</v>
      </c>
      <c r="I37" s="523">
        <f t="shared" si="6"/>
        <v>2</v>
      </c>
      <c r="K37" s="538" t="s">
        <v>92</v>
      </c>
      <c r="L37" s="461">
        <v>1</v>
      </c>
      <c r="M37" s="483"/>
      <c r="N37" s="461">
        <v>2</v>
      </c>
      <c r="O37" s="542"/>
      <c r="P37" s="461">
        <v>3</v>
      </c>
      <c r="Q37" s="464"/>
    </row>
    <row r="38" spans="1:17" x14ac:dyDescent="0.15">
      <c r="A38" s="310" t="s">
        <v>104</v>
      </c>
      <c r="B38" s="300" t="s">
        <v>105</v>
      </c>
      <c r="C38" s="456">
        <f t="shared" si="0"/>
        <v>1</v>
      </c>
      <c r="D38" s="456">
        <f t="shared" si="1"/>
        <v>1</v>
      </c>
      <c r="E38" s="456" t="str">
        <f t="shared" si="2"/>
        <v>Nvt</v>
      </c>
      <c r="F38" s="456">
        <f t="shared" si="3"/>
        <v>1</v>
      </c>
      <c r="G38" s="456" t="str">
        <f t="shared" si="4"/>
        <v>Nvt</v>
      </c>
      <c r="H38" s="456" t="str">
        <f t="shared" si="5"/>
        <v>Nvt</v>
      </c>
      <c r="I38" s="523">
        <f t="shared" si="6"/>
        <v>1</v>
      </c>
      <c r="K38" s="538" t="s">
        <v>104</v>
      </c>
      <c r="L38" s="461">
        <v>1</v>
      </c>
      <c r="M38" s="542"/>
      <c r="N38" s="461">
        <v>2</v>
      </c>
      <c r="O38" s="542"/>
      <c r="P38" s="461">
        <v>3</v>
      </c>
      <c r="Q38" s="464"/>
    </row>
    <row r="39" spans="1:17" x14ac:dyDescent="0.15">
      <c r="A39" s="310" t="s">
        <v>106</v>
      </c>
      <c r="B39" s="470" t="s">
        <v>157</v>
      </c>
      <c r="C39" s="456">
        <f t="shared" si="0"/>
        <v>1</v>
      </c>
      <c r="D39" s="456">
        <f t="shared" si="1"/>
        <v>1</v>
      </c>
      <c r="E39" s="456" t="str">
        <f t="shared" si="2"/>
        <v>Nvt</v>
      </c>
      <c r="F39" s="456">
        <f t="shared" si="3"/>
        <v>1</v>
      </c>
      <c r="G39" s="456" t="str">
        <f t="shared" si="4"/>
        <v>Nvt</v>
      </c>
      <c r="H39" s="456" t="str">
        <f t="shared" si="5"/>
        <v>Nvt</v>
      </c>
      <c r="I39" s="523">
        <f t="shared" si="6"/>
        <v>1</v>
      </c>
      <c r="K39" s="538" t="s">
        <v>122</v>
      </c>
      <c r="L39" s="461">
        <v>1</v>
      </c>
      <c r="M39" s="542"/>
      <c r="N39" s="461">
        <v>2</v>
      </c>
      <c r="O39" s="542"/>
      <c r="P39" s="461">
        <v>3</v>
      </c>
      <c r="Q39" s="464"/>
    </row>
    <row r="40" spans="1:17" x14ac:dyDescent="0.15">
      <c r="A40" s="310" t="s">
        <v>108</v>
      </c>
      <c r="B40" s="470" t="s">
        <v>157</v>
      </c>
      <c r="C40" s="456">
        <f t="shared" si="0"/>
        <v>4</v>
      </c>
      <c r="D40" s="456">
        <f t="shared" si="1"/>
        <v>1</v>
      </c>
      <c r="E40" s="456" t="str">
        <f t="shared" si="2"/>
        <v>Nvt</v>
      </c>
      <c r="F40" s="456">
        <f t="shared" si="3"/>
        <v>1</v>
      </c>
      <c r="G40" s="456" t="str">
        <f t="shared" si="4"/>
        <v>Nvt</v>
      </c>
      <c r="H40" s="456" t="str">
        <f t="shared" si="5"/>
        <v>Nvt</v>
      </c>
      <c r="I40" s="523">
        <f t="shared" si="6"/>
        <v>1</v>
      </c>
      <c r="K40" s="539"/>
      <c r="L40" s="461">
        <v>1</v>
      </c>
      <c r="M40" s="483"/>
      <c r="N40" s="461">
        <v>2</v>
      </c>
      <c r="O40" s="483"/>
      <c r="P40" s="461">
        <v>3</v>
      </c>
      <c r="Q40" s="464"/>
    </row>
    <row r="41" spans="1:17" x14ac:dyDescent="0.15">
      <c r="A41" s="310" t="s">
        <v>86</v>
      </c>
      <c r="B41" s="300" t="s">
        <v>110</v>
      </c>
      <c r="C41" s="456" t="str">
        <f t="shared" si="0"/>
        <v>Nvt</v>
      </c>
      <c r="D41" s="456">
        <f t="shared" si="1"/>
        <v>3</v>
      </c>
      <c r="E41" s="456" t="str">
        <f t="shared" si="2"/>
        <v>Nvt</v>
      </c>
      <c r="F41" s="456">
        <f t="shared" si="3"/>
        <v>2</v>
      </c>
      <c r="G41" s="456" t="str">
        <f t="shared" si="4"/>
        <v>Nvt</v>
      </c>
      <c r="H41" s="456" t="str">
        <f t="shared" si="5"/>
        <v>Nvt</v>
      </c>
      <c r="I41" s="523">
        <f t="shared" si="6"/>
        <v>3</v>
      </c>
      <c r="K41" s="539"/>
      <c r="L41" s="461">
        <v>1</v>
      </c>
      <c r="M41" s="483"/>
      <c r="N41" s="461">
        <v>2</v>
      </c>
      <c r="O41" s="483"/>
      <c r="P41" s="461">
        <v>3</v>
      </c>
      <c r="Q41" s="464"/>
    </row>
    <row r="42" spans="1:17" x14ac:dyDescent="0.15">
      <c r="A42" s="310" t="s">
        <v>112</v>
      </c>
      <c r="B42" s="300" t="s">
        <v>113</v>
      </c>
      <c r="C42" s="456">
        <f t="shared" si="0"/>
        <v>2</v>
      </c>
      <c r="D42" s="456">
        <f t="shared" si="1"/>
        <v>2</v>
      </c>
      <c r="E42" s="456" t="str">
        <f t="shared" si="2"/>
        <v>Nvt</v>
      </c>
      <c r="F42" s="456">
        <f t="shared" si="3"/>
        <v>2</v>
      </c>
      <c r="G42" s="456" t="str">
        <f t="shared" si="4"/>
        <v>Nvt</v>
      </c>
      <c r="H42" s="456" t="str">
        <f t="shared" si="5"/>
        <v>Nvt</v>
      </c>
      <c r="I42" s="523">
        <f t="shared" si="6"/>
        <v>2</v>
      </c>
      <c r="K42" s="539"/>
      <c r="L42" s="461">
        <v>1</v>
      </c>
      <c r="M42" s="483"/>
      <c r="N42" s="461">
        <v>2</v>
      </c>
      <c r="O42" s="483"/>
      <c r="P42" s="461">
        <v>3</v>
      </c>
      <c r="Q42" s="464"/>
    </row>
    <row r="43" spans="1:17" x14ac:dyDescent="0.15">
      <c r="A43" s="310" t="s">
        <v>114</v>
      </c>
      <c r="B43" s="300" t="s">
        <v>115</v>
      </c>
      <c r="C43" s="456">
        <f t="shared" si="0"/>
        <v>2</v>
      </c>
      <c r="D43" s="456">
        <f t="shared" si="1"/>
        <v>2</v>
      </c>
      <c r="E43" s="456">
        <f t="shared" si="2"/>
        <v>2</v>
      </c>
      <c r="F43" s="456" t="str">
        <f t="shared" si="3"/>
        <v>Nvt</v>
      </c>
      <c r="G43" s="456" t="str">
        <f t="shared" si="4"/>
        <v>Nvt</v>
      </c>
      <c r="H43" s="456" t="str">
        <f t="shared" si="5"/>
        <v>Nvt</v>
      </c>
      <c r="I43" s="523">
        <f t="shared" si="6"/>
        <v>2</v>
      </c>
      <c r="K43" s="539"/>
      <c r="L43" s="461">
        <v>1</v>
      </c>
      <c r="M43" s="483"/>
      <c r="N43" s="461">
        <v>2</v>
      </c>
      <c r="O43" s="483"/>
      <c r="P43" s="461">
        <v>3</v>
      </c>
      <c r="Q43" s="464"/>
    </row>
    <row r="44" spans="1:17" x14ac:dyDescent="0.15">
      <c r="A44" s="310" t="s">
        <v>116</v>
      </c>
      <c r="B44" s="300" t="s">
        <v>117</v>
      </c>
      <c r="C44" s="456" t="str">
        <f t="shared" si="0"/>
        <v>Nvt</v>
      </c>
      <c r="D44" s="456">
        <f t="shared" si="1"/>
        <v>2</v>
      </c>
      <c r="E44" s="456">
        <f t="shared" si="2"/>
        <v>2</v>
      </c>
      <c r="F44" s="456" t="str">
        <f t="shared" si="3"/>
        <v>Nvt</v>
      </c>
      <c r="G44" s="456" t="str">
        <f t="shared" si="4"/>
        <v>Nvt</v>
      </c>
      <c r="H44" s="456" t="str">
        <f t="shared" si="5"/>
        <v>Nvt</v>
      </c>
      <c r="I44" s="523">
        <f t="shared" si="6"/>
        <v>2</v>
      </c>
      <c r="K44" s="539"/>
      <c r="L44" s="461">
        <v>1</v>
      </c>
      <c r="M44" s="483"/>
      <c r="N44" s="461">
        <v>2</v>
      </c>
      <c r="O44" s="483"/>
      <c r="P44" s="461">
        <v>3</v>
      </c>
      <c r="Q44" s="464"/>
    </row>
    <row r="45" spans="1:17" x14ac:dyDescent="0.15">
      <c r="A45" s="310" t="s">
        <v>118</v>
      </c>
      <c r="B45" s="300" t="s">
        <v>119</v>
      </c>
      <c r="C45" s="456" t="str">
        <f t="shared" si="0"/>
        <v>Nvt</v>
      </c>
      <c r="D45" s="456" t="str">
        <f t="shared" si="1"/>
        <v>Nvt</v>
      </c>
      <c r="E45" s="456">
        <f t="shared" si="2"/>
        <v>1</v>
      </c>
      <c r="F45" s="456" t="str">
        <f t="shared" si="3"/>
        <v>Nvt</v>
      </c>
      <c r="G45" s="456" t="str">
        <f t="shared" si="4"/>
        <v>Nvt</v>
      </c>
      <c r="H45" s="456" t="str">
        <f t="shared" si="5"/>
        <v>Nvt</v>
      </c>
      <c r="I45" s="523" t="str">
        <f t="shared" si="6"/>
        <v>Nvt</v>
      </c>
      <c r="K45" s="540"/>
      <c r="L45" s="466">
        <v>1</v>
      </c>
      <c r="M45" s="543"/>
      <c r="N45" s="466">
        <v>2</v>
      </c>
      <c r="O45" s="543"/>
      <c r="P45" s="466">
        <v>3</v>
      </c>
      <c r="Q45" s="467"/>
    </row>
    <row r="46" spans="1:17" x14ac:dyDescent="0.15">
      <c r="A46" s="310" t="s">
        <v>120</v>
      </c>
      <c r="B46" s="300" t="s">
        <v>121</v>
      </c>
      <c r="C46" s="456" t="str">
        <f t="shared" si="0"/>
        <v>Nvt</v>
      </c>
      <c r="D46" s="456" t="str">
        <f t="shared" si="1"/>
        <v>Nvt</v>
      </c>
      <c r="E46" s="456">
        <f t="shared" si="2"/>
        <v>1</v>
      </c>
      <c r="F46" s="456" t="str">
        <f t="shared" si="3"/>
        <v>Nvt</v>
      </c>
      <c r="G46" s="456" t="str">
        <f t="shared" si="4"/>
        <v>Nvt</v>
      </c>
      <c r="H46" s="456" t="str">
        <f t="shared" si="5"/>
        <v>Nvt</v>
      </c>
      <c r="I46" s="523" t="str">
        <f t="shared" si="6"/>
        <v>Nvt</v>
      </c>
    </row>
    <row r="47" spans="1:17" x14ac:dyDescent="0.15">
      <c r="A47" s="310" t="s">
        <v>122</v>
      </c>
      <c r="B47" s="300" t="s">
        <v>123</v>
      </c>
      <c r="C47" s="456">
        <f t="shared" si="0"/>
        <v>1</v>
      </c>
      <c r="D47" s="456">
        <f t="shared" si="1"/>
        <v>1</v>
      </c>
      <c r="E47" s="456">
        <f t="shared" si="2"/>
        <v>1</v>
      </c>
      <c r="F47" s="456" t="str">
        <f t="shared" si="3"/>
        <v>Nvt</v>
      </c>
      <c r="G47" s="456" t="str">
        <f t="shared" si="4"/>
        <v>Nvt</v>
      </c>
      <c r="H47" s="456">
        <f t="shared" si="5"/>
        <v>1</v>
      </c>
      <c r="I47" s="523">
        <f t="shared" si="6"/>
        <v>1</v>
      </c>
      <c r="K47" s="432" t="s">
        <v>232</v>
      </c>
      <c r="L47" s="432"/>
    </row>
    <row r="48" spans="1:17" x14ac:dyDescent="0.15">
      <c r="A48" s="310" t="s">
        <v>124</v>
      </c>
      <c r="B48" s="300" t="s">
        <v>125</v>
      </c>
      <c r="C48" s="456">
        <f t="shared" si="0"/>
        <v>3</v>
      </c>
      <c r="D48" s="456">
        <f t="shared" si="1"/>
        <v>2</v>
      </c>
      <c r="E48" s="456">
        <f t="shared" si="2"/>
        <v>1</v>
      </c>
      <c r="F48" s="456" t="str">
        <f t="shared" si="3"/>
        <v>Nvt</v>
      </c>
      <c r="G48" s="456" t="str">
        <f t="shared" si="4"/>
        <v>Nvt</v>
      </c>
      <c r="H48" s="456" t="str">
        <f t="shared" si="5"/>
        <v>Nvt</v>
      </c>
      <c r="I48" s="523">
        <f t="shared" si="6"/>
        <v>2</v>
      </c>
      <c r="K48" s="594" t="s">
        <v>220</v>
      </c>
      <c r="L48" s="458"/>
      <c r="M48" s="459" t="s">
        <v>221</v>
      </c>
      <c r="N48" s="458"/>
      <c r="O48" s="481"/>
      <c r="P48" s="481"/>
      <c r="Q48" s="468"/>
    </row>
    <row r="49" spans="1:17" x14ac:dyDescent="0.15">
      <c r="A49" s="310" t="s">
        <v>126</v>
      </c>
      <c r="B49" s="300" t="s">
        <v>127</v>
      </c>
      <c r="C49" s="456">
        <f t="shared" si="0"/>
        <v>2</v>
      </c>
      <c r="D49" s="456">
        <f t="shared" si="1"/>
        <v>1</v>
      </c>
      <c r="E49" s="456">
        <f t="shared" si="2"/>
        <v>1</v>
      </c>
      <c r="F49" s="456" t="str">
        <f t="shared" si="3"/>
        <v>Nvt</v>
      </c>
      <c r="G49" s="456" t="str">
        <f t="shared" si="4"/>
        <v>Nvt</v>
      </c>
      <c r="H49" s="456">
        <f t="shared" si="5"/>
        <v>1</v>
      </c>
      <c r="I49" s="523">
        <f t="shared" si="6"/>
        <v>1</v>
      </c>
      <c r="K49" s="538" t="s">
        <v>42</v>
      </c>
      <c r="L49" s="461">
        <v>1</v>
      </c>
      <c r="M49" s="542" t="s">
        <v>39</v>
      </c>
      <c r="N49" s="461">
        <v>2</v>
      </c>
      <c r="Q49" s="464"/>
    </row>
    <row r="50" spans="1:17" x14ac:dyDescent="0.15">
      <c r="A50" s="310" t="s">
        <v>128</v>
      </c>
      <c r="B50" s="300" t="s">
        <v>129</v>
      </c>
      <c r="C50" s="456" t="str">
        <f t="shared" si="0"/>
        <v>Nvt</v>
      </c>
      <c r="D50" s="456">
        <f t="shared" si="1"/>
        <v>2</v>
      </c>
      <c r="E50" s="456">
        <f t="shared" si="2"/>
        <v>1</v>
      </c>
      <c r="F50" s="456" t="str">
        <f t="shared" si="3"/>
        <v>Nvt</v>
      </c>
      <c r="G50" s="456" t="str">
        <f t="shared" si="4"/>
        <v>Nvt</v>
      </c>
      <c r="H50" s="456">
        <f t="shared" si="5"/>
        <v>1</v>
      </c>
      <c r="I50" s="523">
        <f t="shared" si="6"/>
        <v>2</v>
      </c>
      <c r="K50" s="538" t="s">
        <v>61</v>
      </c>
      <c r="L50" s="461">
        <v>1</v>
      </c>
      <c r="M50" s="542" t="s">
        <v>44</v>
      </c>
      <c r="N50" s="461">
        <v>2</v>
      </c>
      <c r="O50" s="461"/>
      <c r="Q50" s="464"/>
    </row>
    <row r="51" spans="1:17" x14ac:dyDescent="0.15">
      <c r="A51" s="310" t="s">
        <v>89</v>
      </c>
      <c r="B51" s="300" t="s">
        <v>130</v>
      </c>
      <c r="C51" s="456" t="str">
        <f t="shared" si="0"/>
        <v>Nvt</v>
      </c>
      <c r="D51" s="456">
        <f t="shared" si="1"/>
        <v>3</v>
      </c>
      <c r="E51" s="456">
        <f t="shared" si="2"/>
        <v>1</v>
      </c>
      <c r="F51" s="456" t="str">
        <f t="shared" si="3"/>
        <v>Nvt</v>
      </c>
      <c r="G51" s="456" t="str">
        <f t="shared" si="4"/>
        <v>Nvt</v>
      </c>
      <c r="H51" s="456">
        <f t="shared" si="5"/>
        <v>1</v>
      </c>
      <c r="I51" s="523">
        <f t="shared" si="6"/>
        <v>3</v>
      </c>
      <c r="K51" s="538" t="s">
        <v>63</v>
      </c>
      <c r="L51" s="461">
        <v>1</v>
      </c>
      <c r="M51" s="542" t="s">
        <v>78</v>
      </c>
      <c r="N51" s="461">
        <v>2</v>
      </c>
      <c r="O51" s="461"/>
      <c r="Q51" s="464"/>
    </row>
    <row r="52" spans="1:17" ht="9.9499999999999993" customHeight="1" x14ac:dyDescent="0.15">
      <c r="A52" s="310" t="s">
        <v>131</v>
      </c>
      <c r="B52" s="300" t="s">
        <v>132</v>
      </c>
      <c r="C52" s="456" t="str">
        <f t="shared" si="0"/>
        <v>Nvt</v>
      </c>
      <c r="D52" s="456" t="str">
        <f t="shared" si="1"/>
        <v>Nvt</v>
      </c>
      <c r="E52" s="456">
        <f t="shared" si="2"/>
        <v>1</v>
      </c>
      <c r="F52" s="456" t="str">
        <f t="shared" si="3"/>
        <v>Nvt</v>
      </c>
      <c r="G52" s="456" t="str">
        <f t="shared" si="4"/>
        <v>Nvt</v>
      </c>
      <c r="H52" s="456">
        <f t="shared" si="5"/>
        <v>1</v>
      </c>
      <c r="I52" s="523" t="str">
        <f t="shared" si="6"/>
        <v>Nvt</v>
      </c>
      <c r="K52" s="538" t="s">
        <v>65</v>
      </c>
      <c r="L52" s="461">
        <v>1</v>
      </c>
      <c r="M52" s="542" t="s">
        <v>84</v>
      </c>
      <c r="N52" s="461">
        <v>2</v>
      </c>
      <c r="O52" s="461"/>
      <c r="Q52" s="464"/>
    </row>
    <row r="53" spans="1:17" ht="9.9499999999999993" customHeight="1" x14ac:dyDescent="0.15">
      <c r="A53" s="310" t="s">
        <v>133</v>
      </c>
      <c r="B53" s="300" t="s">
        <v>134</v>
      </c>
      <c r="C53" s="456" t="str">
        <f t="shared" si="0"/>
        <v>Nvt</v>
      </c>
      <c r="D53" s="456" t="str">
        <f t="shared" si="1"/>
        <v>Nvt</v>
      </c>
      <c r="E53" s="456">
        <f t="shared" si="2"/>
        <v>1</v>
      </c>
      <c r="F53" s="456" t="str">
        <f t="shared" si="3"/>
        <v>Nvt</v>
      </c>
      <c r="G53" s="456" t="str">
        <f t="shared" si="4"/>
        <v>Nvt</v>
      </c>
      <c r="H53" s="456">
        <f t="shared" si="5"/>
        <v>1</v>
      </c>
      <c r="I53" s="523" t="str">
        <f t="shared" si="6"/>
        <v>Nvt</v>
      </c>
      <c r="K53" s="538" t="s">
        <v>76</v>
      </c>
      <c r="L53" s="461">
        <v>1</v>
      </c>
      <c r="M53" s="542" t="s">
        <v>87</v>
      </c>
      <c r="N53" s="461">
        <v>2</v>
      </c>
      <c r="O53" s="461"/>
      <c r="Q53" s="464"/>
    </row>
    <row r="54" spans="1:17" ht="9.9499999999999993" customHeight="1" x14ac:dyDescent="0.15">
      <c r="A54" s="310" t="s">
        <v>135</v>
      </c>
      <c r="B54" s="300" t="s">
        <v>136</v>
      </c>
      <c r="C54" s="456" t="str">
        <f t="shared" si="0"/>
        <v>Nvt</v>
      </c>
      <c r="D54" s="456" t="str">
        <f t="shared" si="1"/>
        <v>Nvt</v>
      </c>
      <c r="E54" s="456" t="str">
        <f t="shared" si="2"/>
        <v>Nvt</v>
      </c>
      <c r="F54" s="456" t="str">
        <f t="shared" si="3"/>
        <v>Nvt</v>
      </c>
      <c r="G54" s="456" t="str">
        <f t="shared" si="4"/>
        <v>Nvt</v>
      </c>
      <c r="H54" s="456" t="str">
        <f t="shared" si="5"/>
        <v>Nvt</v>
      </c>
      <c r="I54" s="523" t="str">
        <f t="shared" si="6"/>
        <v>Nvt</v>
      </c>
      <c r="K54" s="538" t="s">
        <v>100</v>
      </c>
      <c r="L54" s="461">
        <v>1</v>
      </c>
      <c r="M54" s="542" t="s">
        <v>90</v>
      </c>
      <c r="N54" s="461">
        <v>2</v>
      </c>
      <c r="O54" s="461"/>
      <c r="Q54" s="464"/>
    </row>
    <row r="55" spans="1:17" ht="9.9499999999999993" customHeight="1" x14ac:dyDescent="0.15">
      <c r="A55" s="310" t="s">
        <v>137</v>
      </c>
      <c r="B55" s="300" t="s">
        <v>138</v>
      </c>
      <c r="C55" s="456" t="str">
        <f t="shared" si="0"/>
        <v>Nvt</v>
      </c>
      <c r="D55" s="456" t="str">
        <f t="shared" si="1"/>
        <v>Nvt</v>
      </c>
      <c r="E55" s="456">
        <f t="shared" si="2"/>
        <v>1</v>
      </c>
      <c r="F55" s="456" t="str">
        <f t="shared" si="3"/>
        <v>Nvt</v>
      </c>
      <c r="G55" s="456" t="str">
        <f t="shared" si="4"/>
        <v>Nvt</v>
      </c>
      <c r="H55" s="456" t="str">
        <f t="shared" si="5"/>
        <v>Nvt</v>
      </c>
      <c r="I55" s="523" t="str">
        <f t="shared" si="6"/>
        <v>Nvt</v>
      </c>
      <c r="K55" s="538" t="s">
        <v>118</v>
      </c>
      <c r="L55" s="461">
        <v>1</v>
      </c>
      <c r="M55" s="542" t="s">
        <v>92</v>
      </c>
      <c r="N55" s="461">
        <v>2</v>
      </c>
      <c r="O55" s="461"/>
      <c r="Q55" s="464"/>
    </row>
    <row r="56" spans="1:17" ht="9.9499999999999993" customHeight="1" x14ac:dyDescent="0.15">
      <c r="A56" s="310" t="s">
        <v>139</v>
      </c>
      <c r="B56" s="300" t="s">
        <v>140</v>
      </c>
      <c r="C56" s="456" t="str">
        <f t="shared" si="0"/>
        <v>Nvt</v>
      </c>
      <c r="D56" s="456" t="str">
        <f t="shared" si="1"/>
        <v>Nvt</v>
      </c>
      <c r="E56" s="456">
        <f t="shared" si="2"/>
        <v>1</v>
      </c>
      <c r="F56" s="456" t="str">
        <f t="shared" si="3"/>
        <v>Nvt</v>
      </c>
      <c r="G56" s="456" t="str">
        <f t="shared" si="4"/>
        <v>Nvt</v>
      </c>
      <c r="H56" s="456" t="str">
        <f t="shared" si="5"/>
        <v>Nvt</v>
      </c>
      <c r="I56" s="523" t="str">
        <f t="shared" si="6"/>
        <v>Nvt</v>
      </c>
      <c r="K56" s="538" t="s">
        <v>122</v>
      </c>
      <c r="L56" s="461">
        <v>1</v>
      </c>
      <c r="M56" s="542" t="s">
        <v>94</v>
      </c>
      <c r="N56" s="461">
        <v>2</v>
      </c>
      <c r="O56" s="461"/>
      <c r="Q56" s="464"/>
    </row>
    <row r="57" spans="1:17" ht="9.9499999999999993" customHeight="1" x14ac:dyDescent="0.15">
      <c r="A57" s="310" t="s">
        <v>141</v>
      </c>
      <c r="B57" s="300" t="s">
        <v>142</v>
      </c>
      <c r="C57" s="456" t="str">
        <f t="shared" si="0"/>
        <v>Nvt</v>
      </c>
      <c r="D57" s="456" t="str">
        <f t="shared" si="1"/>
        <v>Nvt</v>
      </c>
      <c r="E57" s="456" t="str">
        <f t="shared" si="2"/>
        <v>Nvt</v>
      </c>
      <c r="F57" s="456" t="str">
        <f t="shared" si="3"/>
        <v>Nvt</v>
      </c>
      <c r="G57" s="456" t="str">
        <f t="shared" si="4"/>
        <v>Nvt</v>
      </c>
      <c r="H57" s="456" t="str">
        <f t="shared" si="5"/>
        <v>Nvt</v>
      </c>
      <c r="I57" s="523" t="str">
        <f t="shared" si="6"/>
        <v>Nvt</v>
      </c>
      <c r="K57" s="538" t="s">
        <v>124</v>
      </c>
      <c r="L57" s="461">
        <v>1</v>
      </c>
      <c r="M57" s="542" t="s">
        <v>96</v>
      </c>
      <c r="N57" s="461">
        <v>2</v>
      </c>
      <c r="O57" s="461"/>
      <c r="Q57" s="464"/>
    </row>
    <row r="58" spans="1:17" ht="9.9499999999999993" customHeight="1" x14ac:dyDescent="0.15">
      <c r="A58" s="310" t="s">
        <v>143</v>
      </c>
      <c r="B58" s="300" t="s">
        <v>144</v>
      </c>
      <c r="C58" s="456" t="str">
        <f t="shared" si="0"/>
        <v>Nvt</v>
      </c>
      <c r="D58" s="456">
        <f t="shared" si="1"/>
        <v>1</v>
      </c>
      <c r="E58" s="456">
        <f t="shared" si="2"/>
        <v>1</v>
      </c>
      <c r="F58" s="456" t="str">
        <f t="shared" si="3"/>
        <v>Nvt</v>
      </c>
      <c r="G58" s="456" t="str">
        <f t="shared" si="4"/>
        <v>Nvt</v>
      </c>
      <c r="H58" s="456" t="str">
        <f t="shared" si="5"/>
        <v>Nvt</v>
      </c>
      <c r="I58" s="523">
        <f t="shared" si="6"/>
        <v>1</v>
      </c>
      <c r="K58" s="538" t="s">
        <v>126</v>
      </c>
      <c r="L58" s="461">
        <v>1</v>
      </c>
      <c r="M58" s="542" t="s">
        <v>98</v>
      </c>
      <c r="N58" s="461">
        <v>2</v>
      </c>
      <c r="O58" s="461"/>
      <c r="Q58" s="464"/>
    </row>
    <row r="59" spans="1:17" ht="9.9499999999999993" customHeight="1" x14ac:dyDescent="0.15">
      <c r="A59" s="341" t="s">
        <v>145</v>
      </c>
      <c r="B59" s="342" t="s">
        <v>146</v>
      </c>
      <c r="C59" s="474" t="str">
        <f t="shared" si="0"/>
        <v>Nvt</v>
      </c>
      <c r="D59" s="474">
        <f t="shared" si="1"/>
        <v>1</v>
      </c>
      <c r="E59" s="474">
        <f t="shared" si="2"/>
        <v>1</v>
      </c>
      <c r="F59" s="474" t="str">
        <f t="shared" si="3"/>
        <v>Nvt</v>
      </c>
      <c r="G59" s="474" t="str">
        <f t="shared" si="4"/>
        <v>Nvt</v>
      </c>
      <c r="H59" s="474" t="str">
        <f t="shared" si="5"/>
        <v>Nvt</v>
      </c>
      <c r="I59" s="524">
        <f t="shared" si="6"/>
        <v>1</v>
      </c>
      <c r="K59" s="538" t="s">
        <v>128</v>
      </c>
      <c r="L59" s="461">
        <v>1</v>
      </c>
      <c r="M59" s="542" t="s">
        <v>102</v>
      </c>
      <c r="N59" s="461">
        <v>2</v>
      </c>
      <c r="O59" s="461"/>
      <c r="Q59" s="464"/>
    </row>
    <row r="60" spans="1:17" ht="9.9499999999999993" customHeight="1" x14ac:dyDescent="0.15">
      <c r="A60" s="300" t="s">
        <v>233</v>
      </c>
      <c r="K60" s="538" t="s">
        <v>89</v>
      </c>
      <c r="L60" s="461">
        <v>1</v>
      </c>
      <c r="M60" s="542" t="s">
        <v>114</v>
      </c>
      <c r="N60" s="461">
        <v>2</v>
      </c>
      <c r="O60" s="461"/>
      <c r="Q60" s="464"/>
    </row>
    <row r="61" spans="1:17" ht="9.9499999999999993" customHeight="1" x14ac:dyDescent="0.15">
      <c r="K61" s="538" t="s">
        <v>131</v>
      </c>
      <c r="L61" s="461">
        <v>1</v>
      </c>
      <c r="M61" s="542" t="s">
        <v>116</v>
      </c>
      <c r="N61" s="461">
        <v>2</v>
      </c>
      <c r="O61" s="461"/>
      <c r="Q61" s="464"/>
    </row>
    <row r="62" spans="1:17" ht="9.9499999999999993" customHeight="1" x14ac:dyDescent="0.15">
      <c r="K62" s="538" t="s">
        <v>133</v>
      </c>
      <c r="L62" s="461">
        <v>1</v>
      </c>
      <c r="M62" s="483"/>
      <c r="N62" s="461">
        <v>2</v>
      </c>
      <c r="O62" s="461"/>
      <c r="Q62" s="464"/>
    </row>
    <row r="63" spans="1:17" ht="9.9499999999999993" customHeight="1" x14ac:dyDescent="0.15">
      <c r="K63" s="538" t="s">
        <v>137</v>
      </c>
      <c r="L63" s="461">
        <v>1</v>
      </c>
      <c r="M63" s="542"/>
      <c r="N63" s="461">
        <v>2</v>
      </c>
      <c r="O63" s="461"/>
      <c r="Q63" s="464"/>
    </row>
    <row r="64" spans="1:17" ht="9.9499999999999993" customHeight="1" x14ac:dyDescent="0.15">
      <c r="K64" s="538" t="s">
        <v>139</v>
      </c>
      <c r="L64" s="461">
        <v>1</v>
      </c>
      <c r="M64" s="542"/>
      <c r="N64" s="461">
        <v>2</v>
      </c>
      <c r="O64" s="461"/>
      <c r="Q64" s="464"/>
    </row>
    <row r="65" spans="11:17" ht="9.9499999999999993" customHeight="1" x14ac:dyDescent="0.15">
      <c r="K65" s="538" t="s">
        <v>143</v>
      </c>
      <c r="L65" s="461">
        <v>1</v>
      </c>
      <c r="M65" s="542"/>
      <c r="N65" s="461">
        <v>2</v>
      </c>
      <c r="O65" s="461"/>
      <c r="Q65" s="464"/>
    </row>
    <row r="66" spans="11:17" ht="9.9499999999999993" customHeight="1" x14ac:dyDescent="0.15">
      <c r="K66" s="538" t="s">
        <v>145</v>
      </c>
      <c r="L66" s="461">
        <v>1</v>
      </c>
      <c r="M66" s="542"/>
      <c r="N66" s="461">
        <v>2</v>
      </c>
      <c r="O66" s="461"/>
      <c r="Q66" s="464"/>
    </row>
    <row r="67" spans="11:17" ht="9.9499999999999993" customHeight="1" x14ac:dyDescent="0.15">
      <c r="K67" s="538" t="s">
        <v>120</v>
      </c>
      <c r="L67" s="461">
        <v>1</v>
      </c>
      <c r="M67" s="542"/>
      <c r="N67" s="461">
        <v>2</v>
      </c>
      <c r="O67" s="461"/>
      <c r="Q67" s="464"/>
    </row>
    <row r="68" spans="11:17" ht="9.9499999999999993" customHeight="1" x14ac:dyDescent="0.15">
      <c r="K68" s="538"/>
      <c r="L68" s="461">
        <v>1</v>
      </c>
      <c r="M68" s="542"/>
      <c r="N68" s="461">
        <v>2</v>
      </c>
      <c r="O68" s="461"/>
      <c r="Q68" s="464"/>
    </row>
    <row r="69" spans="11:17" ht="9.9499999999999993" customHeight="1" x14ac:dyDescent="0.15">
      <c r="K69" s="538"/>
      <c r="L69" s="461">
        <v>1</v>
      </c>
      <c r="M69" s="542"/>
      <c r="N69" s="461">
        <v>2</v>
      </c>
      <c r="O69" s="461"/>
      <c r="Q69" s="464"/>
    </row>
    <row r="70" spans="11:17" ht="9.9499999999999993" customHeight="1" x14ac:dyDescent="0.15">
      <c r="K70" s="538"/>
      <c r="L70" s="461">
        <v>1</v>
      </c>
      <c r="M70" s="542"/>
      <c r="N70" s="461">
        <v>2</v>
      </c>
      <c r="O70" s="461"/>
      <c r="Q70" s="464"/>
    </row>
    <row r="71" spans="11:17" ht="9.9499999999999993" customHeight="1" x14ac:dyDescent="0.15">
      <c r="K71" s="538"/>
      <c r="L71" s="461">
        <v>1</v>
      </c>
      <c r="M71" s="542"/>
      <c r="N71" s="461">
        <v>2</v>
      </c>
      <c r="O71" s="461"/>
      <c r="Q71" s="464"/>
    </row>
    <row r="72" spans="11:17" ht="9.9499999999999993" customHeight="1" x14ac:dyDescent="0.15">
      <c r="K72" s="538"/>
      <c r="L72" s="461">
        <v>1</v>
      </c>
      <c r="M72" s="542"/>
      <c r="N72" s="461">
        <v>2</v>
      </c>
      <c r="O72" s="461"/>
      <c r="Q72" s="464"/>
    </row>
    <row r="73" spans="11:17" ht="9.9499999999999993" customHeight="1" x14ac:dyDescent="0.15">
      <c r="K73" s="567"/>
      <c r="L73" s="466">
        <v>1</v>
      </c>
      <c r="M73" s="568"/>
      <c r="N73" s="466">
        <v>2</v>
      </c>
      <c r="O73" s="466"/>
      <c r="P73" s="465"/>
      <c r="Q73" s="467"/>
    </row>
    <row r="74" spans="11:17" ht="9.9499999999999993" customHeight="1" x14ac:dyDescent="0.15">
      <c r="K74" s="461"/>
      <c r="L74" s="461"/>
      <c r="M74" s="461"/>
      <c r="N74" s="461"/>
      <c r="O74" s="461"/>
    </row>
    <row r="75" spans="11:17" ht="9.9499999999999993" customHeight="1" x14ac:dyDescent="0.15">
      <c r="K75" s="475" t="s">
        <v>234</v>
      </c>
      <c r="L75" s="476"/>
      <c r="M75" s="461"/>
      <c r="N75" s="461"/>
      <c r="O75" s="461"/>
    </row>
    <row r="76" spans="11:17" ht="9.9499999999999993" customHeight="1" x14ac:dyDescent="0.15">
      <c r="K76" s="457" t="s">
        <v>220</v>
      </c>
      <c r="L76" s="458"/>
      <c r="M76" s="459" t="s">
        <v>221</v>
      </c>
      <c r="N76" s="458"/>
      <c r="O76" s="480"/>
      <c r="P76" s="481"/>
      <c r="Q76" s="468"/>
    </row>
    <row r="77" spans="11:17" ht="9.9499999999999993" customHeight="1" x14ac:dyDescent="0.15">
      <c r="K77" s="537" t="s">
        <v>68</v>
      </c>
      <c r="L77" s="469">
        <v>1</v>
      </c>
      <c r="M77" s="541" t="s">
        <v>84</v>
      </c>
      <c r="N77" s="469">
        <v>2</v>
      </c>
      <c r="O77" s="469"/>
      <c r="P77" s="478"/>
      <c r="Q77" s="479"/>
    </row>
    <row r="78" spans="11:17" ht="9.9499999999999993" customHeight="1" x14ac:dyDescent="0.15">
      <c r="K78" s="538" t="s">
        <v>100</v>
      </c>
      <c r="L78" s="461">
        <v>1</v>
      </c>
      <c r="M78" s="542" t="s">
        <v>87</v>
      </c>
      <c r="N78" s="461">
        <v>2</v>
      </c>
      <c r="O78" s="461"/>
      <c r="Q78" s="464"/>
    </row>
    <row r="79" spans="11:17" ht="9.9499999999999993" customHeight="1" x14ac:dyDescent="0.15">
      <c r="K79" s="538" t="s">
        <v>102</v>
      </c>
      <c r="L79" s="461">
        <v>1</v>
      </c>
      <c r="M79" s="542" t="s">
        <v>92</v>
      </c>
      <c r="N79" s="461">
        <v>2</v>
      </c>
      <c r="O79" s="461"/>
      <c r="Q79" s="464"/>
    </row>
    <row r="80" spans="11:17" ht="9.9499999999999993" customHeight="1" x14ac:dyDescent="0.15">
      <c r="K80" s="538" t="s">
        <v>104</v>
      </c>
      <c r="L80" s="461">
        <v>1</v>
      </c>
      <c r="M80" s="542" t="s">
        <v>96</v>
      </c>
      <c r="N80" s="461">
        <v>2</v>
      </c>
      <c r="O80" s="461"/>
      <c r="Q80" s="464"/>
    </row>
    <row r="81" spans="11:17" ht="9.9499999999999993" customHeight="1" x14ac:dyDescent="0.15">
      <c r="K81" s="538" t="s">
        <v>106</v>
      </c>
      <c r="L81" s="461">
        <v>1</v>
      </c>
      <c r="M81" s="542" t="s">
        <v>86</v>
      </c>
      <c r="N81" s="461">
        <v>2</v>
      </c>
      <c r="O81" s="461"/>
      <c r="Q81" s="464"/>
    </row>
    <row r="82" spans="11:17" ht="9.9499999999999993" customHeight="1" x14ac:dyDescent="0.15">
      <c r="K82" s="538" t="s">
        <v>108</v>
      </c>
      <c r="L82" s="461">
        <v>1</v>
      </c>
      <c r="M82" s="542" t="s">
        <v>112</v>
      </c>
      <c r="N82" s="461">
        <v>2</v>
      </c>
      <c r="O82" s="461"/>
      <c r="Q82" s="464"/>
    </row>
    <row r="83" spans="11:17" ht="9.9499999999999993" customHeight="1" x14ac:dyDescent="0.15">
      <c r="K83" s="538"/>
      <c r="L83" s="461">
        <v>1</v>
      </c>
      <c r="M83" s="542" t="s">
        <v>78</v>
      </c>
      <c r="N83" s="461">
        <v>2</v>
      </c>
      <c r="O83" s="461"/>
      <c r="Q83" s="464"/>
    </row>
    <row r="84" spans="11:17" ht="9.9499999999999993" customHeight="1" x14ac:dyDescent="0.15">
      <c r="K84" s="538"/>
      <c r="L84" s="461">
        <v>1</v>
      </c>
      <c r="M84" s="542"/>
      <c r="N84" s="461">
        <v>2</v>
      </c>
      <c r="O84" s="461"/>
      <c r="Q84" s="464"/>
    </row>
    <row r="85" spans="11:17" ht="9.9499999999999993" customHeight="1" x14ac:dyDescent="0.15">
      <c r="K85" s="538"/>
      <c r="L85" s="461">
        <v>1</v>
      </c>
      <c r="M85" s="542"/>
      <c r="N85" s="461">
        <v>2</v>
      </c>
      <c r="O85" s="461"/>
      <c r="Q85" s="464"/>
    </row>
    <row r="86" spans="11:17" ht="9.9499999999999993" customHeight="1" x14ac:dyDescent="0.15">
      <c r="K86" s="538"/>
      <c r="L86" s="461">
        <v>1</v>
      </c>
      <c r="M86" s="542"/>
      <c r="N86" s="461">
        <v>2</v>
      </c>
      <c r="O86" s="461"/>
      <c r="Q86" s="464"/>
    </row>
    <row r="87" spans="11:17" ht="9.9499999999999993" customHeight="1" x14ac:dyDescent="0.15">
      <c r="K87" s="538"/>
      <c r="L87" s="461">
        <v>1</v>
      </c>
      <c r="M87" s="542"/>
      <c r="N87" s="461">
        <v>2</v>
      </c>
      <c r="O87" s="461"/>
      <c r="Q87" s="464"/>
    </row>
    <row r="88" spans="11:17" ht="9.9499999999999993" customHeight="1" x14ac:dyDescent="0.15">
      <c r="K88" s="567"/>
      <c r="L88" s="466">
        <v>1</v>
      </c>
      <c r="M88" s="568"/>
      <c r="N88" s="466">
        <v>2</v>
      </c>
      <c r="O88" s="466"/>
      <c r="P88" s="465"/>
      <c r="Q88" s="467"/>
    </row>
    <row r="89" spans="11:17" ht="9.9499999999999993" customHeight="1" x14ac:dyDescent="0.15">
      <c r="K89" s="461"/>
      <c r="L89" s="461"/>
      <c r="M89" s="461"/>
      <c r="N89" s="461"/>
      <c r="O89" s="461"/>
    </row>
    <row r="90" spans="11:17" ht="9.9499999999999993" customHeight="1" x14ac:dyDescent="0.15">
      <c r="K90" s="475" t="s">
        <v>235</v>
      </c>
      <c r="L90" s="476"/>
      <c r="M90" s="461"/>
      <c r="N90" s="461"/>
      <c r="O90" s="461"/>
    </row>
    <row r="91" spans="11:17" ht="9.9499999999999993" customHeight="1" x14ac:dyDescent="0.15">
      <c r="K91" s="457" t="s">
        <v>220</v>
      </c>
      <c r="L91" s="458"/>
      <c r="M91" s="459" t="s">
        <v>221</v>
      </c>
      <c r="N91" s="458"/>
      <c r="O91" s="480"/>
      <c r="P91" s="481"/>
      <c r="Q91" s="468"/>
    </row>
    <row r="92" spans="11:17" ht="9.9499999999999993" customHeight="1" x14ac:dyDescent="0.15">
      <c r="K92" s="537" t="s">
        <v>80</v>
      </c>
      <c r="L92" s="469">
        <v>1</v>
      </c>
      <c r="M92" s="541" t="s">
        <v>63</v>
      </c>
      <c r="N92" s="469">
        <v>2</v>
      </c>
      <c r="O92" s="469"/>
      <c r="P92" s="478"/>
      <c r="Q92" s="479"/>
    </row>
    <row r="93" spans="11:17" ht="9.9499999999999993" customHeight="1" x14ac:dyDescent="0.15">
      <c r="K93" s="538" t="s">
        <v>82</v>
      </c>
      <c r="L93" s="461">
        <v>1</v>
      </c>
      <c r="M93" s="542" t="s">
        <v>76</v>
      </c>
      <c r="N93" s="461">
        <v>2</v>
      </c>
      <c r="O93" s="461"/>
      <c r="Q93" s="464"/>
    </row>
    <row r="94" spans="11:17" ht="9.9499999999999993" customHeight="1" x14ac:dyDescent="0.15">
      <c r="K94" s="538"/>
      <c r="L94" s="461">
        <v>1</v>
      </c>
      <c r="M94" s="542" t="s">
        <v>61</v>
      </c>
      <c r="N94" s="461">
        <v>2</v>
      </c>
      <c r="O94" s="461"/>
      <c r="Q94" s="464"/>
    </row>
    <row r="95" spans="11:17" ht="9.9499999999999993" customHeight="1" x14ac:dyDescent="0.15">
      <c r="K95" s="538"/>
      <c r="L95" s="461">
        <v>1</v>
      </c>
      <c r="M95" s="542"/>
      <c r="N95" s="461">
        <v>2</v>
      </c>
      <c r="O95" s="461"/>
      <c r="Q95" s="464"/>
    </row>
    <row r="96" spans="11:17" ht="9.9499999999999993" customHeight="1" x14ac:dyDescent="0.15">
      <c r="K96" s="538"/>
      <c r="L96" s="461">
        <v>1</v>
      </c>
      <c r="M96" s="542"/>
      <c r="N96" s="461">
        <v>2</v>
      </c>
      <c r="O96" s="461"/>
      <c r="Q96" s="464"/>
    </row>
    <row r="97" spans="11:17" ht="9.9499999999999993" customHeight="1" x14ac:dyDescent="0.15">
      <c r="K97" s="538"/>
      <c r="L97" s="461">
        <v>1</v>
      </c>
      <c r="M97" s="542"/>
      <c r="N97" s="461">
        <v>2</v>
      </c>
      <c r="O97" s="461"/>
      <c r="Q97" s="464"/>
    </row>
    <row r="98" spans="11:17" ht="9.9499999999999993" customHeight="1" x14ac:dyDescent="0.15">
      <c r="K98" s="538"/>
      <c r="L98" s="461">
        <v>1</v>
      </c>
      <c r="M98" s="542"/>
      <c r="N98" s="461">
        <v>2</v>
      </c>
      <c r="O98" s="461"/>
      <c r="Q98" s="464"/>
    </row>
    <row r="99" spans="11:17" ht="9.9499999999999993" customHeight="1" x14ac:dyDescent="0.15">
      <c r="K99" s="567"/>
      <c r="L99" s="466">
        <v>1</v>
      </c>
      <c r="M99" s="568"/>
      <c r="N99" s="466">
        <v>2</v>
      </c>
      <c r="O99" s="466"/>
      <c r="P99" s="465"/>
      <c r="Q99" s="467"/>
    </row>
    <row r="100" spans="11:17" ht="9.9499999999999993" customHeight="1" x14ac:dyDescent="0.15">
      <c r="K100" s="461"/>
      <c r="L100" s="461"/>
      <c r="M100" s="461"/>
      <c r="N100" s="461"/>
      <c r="O100" s="461"/>
    </row>
    <row r="101" spans="11:17" ht="9.9499999999999993" customHeight="1" x14ac:dyDescent="0.15">
      <c r="K101" s="475" t="s">
        <v>236</v>
      </c>
      <c r="L101" s="476"/>
      <c r="M101" s="461"/>
      <c r="N101" s="461"/>
      <c r="O101" s="461"/>
    </row>
    <row r="102" spans="11:17" ht="9.9499999999999993" customHeight="1" x14ac:dyDescent="0.15">
      <c r="K102" s="593" t="s">
        <v>220</v>
      </c>
      <c r="L102" s="471"/>
      <c r="M102" s="471"/>
      <c r="N102" s="471"/>
      <c r="O102" s="477"/>
      <c r="P102" s="472"/>
      <c r="Q102" s="473"/>
    </row>
    <row r="103" spans="11:17" ht="9.9499999999999993" customHeight="1" x14ac:dyDescent="0.15">
      <c r="K103" s="537" t="s">
        <v>122</v>
      </c>
      <c r="L103" s="469">
        <v>1</v>
      </c>
      <c r="M103" s="469"/>
      <c r="N103" s="469"/>
      <c r="O103" s="469"/>
      <c r="P103" s="478"/>
      <c r="Q103" s="479"/>
    </row>
    <row r="104" spans="11:17" ht="9.9499999999999993" customHeight="1" x14ac:dyDescent="0.15">
      <c r="K104" s="538" t="s">
        <v>126</v>
      </c>
      <c r="L104" s="461">
        <v>1</v>
      </c>
      <c r="M104" s="461"/>
      <c r="N104" s="461"/>
      <c r="O104" s="461"/>
      <c r="Q104" s="464"/>
    </row>
    <row r="105" spans="11:17" ht="9.9499999999999993" customHeight="1" x14ac:dyDescent="0.15">
      <c r="K105" s="538" t="s">
        <v>128</v>
      </c>
      <c r="L105" s="461">
        <v>1</v>
      </c>
      <c r="Q105" s="464"/>
    </row>
    <row r="106" spans="11:17" ht="9.9499999999999993" customHeight="1" x14ac:dyDescent="0.15">
      <c r="K106" s="538" t="s">
        <v>89</v>
      </c>
      <c r="L106" s="461">
        <v>1</v>
      </c>
      <c r="Q106" s="464"/>
    </row>
    <row r="107" spans="11:17" ht="9.9499999999999993" customHeight="1" x14ac:dyDescent="0.15">
      <c r="K107" s="538" t="s">
        <v>131</v>
      </c>
      <c r="L107" s="461">
        <v>1</v>
      </c>
      <c r="Q107" s="464"/>
    </row>
    <row r="108" spans="11:17" ht="9.9499999999999993" customHeight="1" x14ac:dyDescent="0.15">
      <c r="K108" s="538" t="s">
        <v>133</v>
      </c>
      <c r="L108" s="466">
        <v>1</v>
      </c>
      <c r="Q108" s="464"/>
    </row>
    <row r="109" spans="11:17" ht="9.9499999999999993" customHeight="1" x14ac:dyDescent="0.15">
      <c r="K109" s="538"/>
      <c r="L109" s="466">
        <v>1</v>
      </c>
      <c r="Q109" s="464"/>
    </row>
    <row r="110" spans="11:17" x14ac:dyDescent="0.15">
      <c r="K110" s="539"/>
      <c r="L110" s="466">
        <v>1</v>
      </c>
      <c r="Q110" s="464"/>
    </row>
    <row r="111" spans="11:17" x14ac:dyDescent="0.15">
      <c r="K111" s="539"/>
      <c r="L111" s="466">
        <v>1</v>
      </c>
      <c r="Q111" s="464"/>
    </row>
    <row r="112" spans="11:17" x14ac:dyDescent="0.15">
      <c r="K112" s="539"/>
      <c r="L112" s="466">
        <v>1</v>
      </c>
      <c r="Q112" s="464"/>
    </row>
    <row r="113" spans="11:17" x14ac:dyDescent="0.15">
      <c r="K113" s="540"/>
      <c r="L113" s="466">
        <v>1</v>
      </c>
      <c r="M113" s="465"/>
      <c r="N113" s="465"/>
      <c r="O113" s="465"/>
      <c r="P113" s="465"/>
      <c r="Q113" s="467"/>
    </row>
  </sheetData>
  <mergeCells count="11">
    <mergeCell ref="A1:J2"/>
    <mergeCell ref="A3:I4"/>
    <mergeCell ref="A6:A8"/>
    <mergeCell ref="I6:I8"/>
    <mergeCell ref="H6:H8"/>
    <mergeCell ref="G6:G8"/>
    <mergeCell ref="F6:F8"/>
    <mergeCell ref="E6:E8"/>
    <mergeCell ref="D6:D8"/>
    <mergeCell ref="C6:C8"/>
    <mergeCell ref="B6:B8"/>
  </mergeCells>
  <phoneticPr fontId="5" type="noConversion"/>
  <pageMargins left="0.7" right="0.7" top="0.75" bottom="0.75" header="0.3" footer="0.3"/>
  <pageSetup paperSize="9" scale="41"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1C6B6-0003-4AA5-BAA0-722A8E25A66B}">
  <sheetPr>
    <tabColor theme="6"/>
    <pageSetUpPr fitToPage="1"/>
  </sheetPr>
  <dimension ref="A1:AE169"/>
  <sheetViews>
    <sheetView zoomScaleNormal="100" zoomScalePageLayoutView="66" workbookViewId="0"/>
  </sheetViews>
  <sheetFormatPr defaultColWidth="9.09765625" defaultRowHeight="14.1" customHeight="1" x14ac:dyDescent="0.2"/>
  <cols>
    <col min="1" max="7" width="12.09765625" style="128" customWidth="1"/>
    <col min="8" max="10" width="11.796875" style="128" customWidth="1"/>
    <col min="11" max="15" width="11.796875" style="79" customWidth="1"/>
    <col min="16" max="16" width="19.59765625" style="47" customWidth="1"/>
    <col min="17" max="17" width="18.3984375" style="47" customWidth="1"/>
    <col min="18" max="20" width="11.796875" style="79" customWidth="1"/>
    <col min="21" max="21" width="11.796875" style="164" customWidth="1"/>
    <col min="22" max="25" width="11.796875" style="79" customWidth="1"/>
    <col min="26" max="16384" width="9.09765625" style="112"/>
  </cols>
  <sheetData>
    <row r="1" spans="1:25" s="492" customFormat="1" ht="14.1" customHeight="1" x14ac:dyDescent="0.2">
      <c r="A1" s="605" t="str" cm="1">
        <f t="array" aca="1" ref="A1" ca="1">MID(CELL("bestandsnaam",$A$1),FIND("]",CELL("bestandsnaam",$A$1))+1,31)</f>
        <v>5. Vegetatiekartering</v>
      </c>
      <c r="B1" s="605"/>
      <c r="C1" s="605"/>
      <c r="D1" s="605"/>
      <c r="E1" s="605"/>
      <c r="F1" s="605"/>
      <c r="G1" s="605"/>
      <c r="H1" s="605"/>
      <c r="I1" s="605"/>
      <c r="J1" s="605"/>
      <c r="K1" s="489"/>
      <c r="L1" s="489"/>
      <c r="M1" s="489"/>
      <c r="N1" s="489"/>
      <c r="O1" s="489"/>
      <c r="P1" s="490"/>
      <c r="Q1" s="490"/>
      <c r="R1" s="489"/>
      <c r="S1" s="489"/>
      <c r="T1" s="489"/>
      <c r="U1" s="491"/>
      <c r="V1" s="489"/>
      <c r="W1" s="489"/>
      <c r="X1" s="489"/>
      <c r="Y1" s="489"/>
    </row>
    <row r="2" spans="1:25" s="492" customFormat="1" ht="14.1" customHeight="1" x14ac:dyDescent="0.2">
      <c r="A2" s="605"/>
      <c r="B2" s="605"/>
      <c r="C2" s="605"/>
      <c r="D2" s="605"/>
      <c r="E2" s="605"/>
      <c r="F2" s="605"/>
      <c r="G2" s="605"/>
      <c r="H2" s="605"/>
      <c r="I2" s="605"/>
      <c r="J2" s="605"/>
      <c r="K2" s="489"/>
      <c r="L2" s="489"/>
      <c r="M2" s="489"/>
      <c r="N2" s="489"/>
      <c r="O2" s="489"/>
      <c r="P2" s="490"/>
      <c r="Q2" s="490"/>
      <c r="R2" s="489"/>
      <c r="S2" s="489"/>
      <c r="T2" s="489"/>
      <c r="U2" s="491"/>
      <c r="V2" s="489"/>
      <c r="W2" s="489"/>
      <c r="X2" s="489"/>
      <c r="Y2" s="489"/>
    </row>
    <row r="3" spans="1:25" ht="14.1" customHeight="1" x14ac:dyDescent="0.2">
      <c r="A3" s="525" t="s">
        <v>237</v>
      </c>
      <c r="B3" s="59"/>
      <c r="C3" s="59"/>
      <c r="D3" s="135"/>
      <c r="E3" s="135"/>
      <c r="F3" s="135"/>
      <c r="G3" s="135"/>
      <c r="H3" s="61"/>
      <c r="I3" s="61"/>
      <c r="J3" s="61"/>
      <c r="K3" s="83"/>
      <c r="L3" s="83"/>
      <c r="M3" s="525"/>
      <c r="N3" s="83"/>
      <c r="O3" s="83"/>
      <c r="P3" s="120"/>
      <c r="Q3" s="120"/>
      <c r="R3" s="83"/>
      <c r="S3" s="83"/>
      <c r="T3" s="83"/>
      <c r="U3" s="154"/>
      <c r="V3" s="86"/>
      <c r="W3" s="86"/>
      <c r="X3" s="83"/>
      <c r="Y3" s="83"/>
    </row>
    <row r="4" spans="1:25" s="81" customFormat="1" ht="14.1" customHeight="1" x14ac:dyDescent="0.2">
      <c r="A4" s="807" t="s">
        <v>219</v>
      </c>
      <c r="B4" s="808"/>
      <c r="C4" s="743" t="s">
        <v>28</v>
      </c>
      <c r="D4" s="744"/>
      <c r="E4" s="744"/>
      <c r="F4" s="745"/>
      <c r="G4" s="743" t="s">
        <v>29</v>
      </c>
      <c r="H4" s="744"/>
      <c r="I4" s="744"/>
      <c r="J4" s="745"/>
      <c r="L4" s="755" t="s">
        <v>238</v>
      </c>
      <c r="M4" s="756"/>
      <c r="N4" s="757"/>
      <c r="P4" s="565" t="s">
        <v>239</v>
      </c>
      <c r="Q4" s="569"/>
      <c r="R4" s="569"/>
      <c r="S4" s="552"/>
      <c r="T4" s="566" t="s">
        <v>240</v>
      </c>
      <c r="U4" s="561"/>
      <c r="V4" s="561"/>
      <c r="W4" s="561"/>
      <c r="X4" s="561"/>
      <c r="Y4" s="553"/>
    </row>
    <row r="5" spans="1:25" s="81" customFormat="1" ht="14.1" customHeight="1" x14ac:dyDescent="0.2">
      <c r="A5" s="809"/>
      <c r="B5" s="810"/>
      <c r="C5" s="545" t="s">
        <v>220</v>
      </c>
      <c r="D5" s="546" t="s">
        <v>221</v>
      </c>
      <c r="E5" s="546" t="s">
        <v>222</v>
      </c>
      <c r="F5" s="546" t="s">
        <v>241</v>
      </c>
      <c r="G5" s="545" t="s">
        <v>242</v>
      </c>
      <c r="H5" s="546" t="s">
        <v>221</v>
      </c>
      <c r="I5" s="546" t="s">
        <v>222</v>
      </c>
      <c r="J5" s="546" t="s">
        <v>241</v>
      </c>
      <c r="L5" s="758"/>
      <c r="M5" s="759"/>
      <c r="N5" s="760"/>
      <c r="P5" s="554"/>
      <c r="Q5" s="549"/>
      <c r="R5" s="549"/>
      <c r="S5" s="549"/>
      <c r="T5" s="547"/>
      <c r="U5" s="572"/>
      <c r="V5" s="573" t="s">
        <v>242</v>
      </c>
      <c r="W5" s="573" t="s">
        <v>221</v>
      </c>
      <c r="X5" s="573" t="s">
        <v>222</v>
      </c>
      <c r="Y5" s="548" t="s">
        <v>241</v>
      </c>
    </row>
    <row r="6" spans="1:25" s="81" customFormat="1" ht="14.1" customHeight="1" x14ac:dyDescent="0.2">
      <c r="A6" s="526" t="s">
        <v>243</v>
      </c>
      <c r="B6" s="526" t="s">
        <v>244</v>
      </c>
      <c r="C6" s="165">
        <f>SUM($V$32,$V$73,$V$74)</f>
        <v>9.7431832291276592</v>
      </c>
      <c r="D6" s="165">
        <f>SUM($W$32,$W$73,$W$74)</f>
        <v>8.3318017696170212</v>
      </c>
      <c r="E6" s="165">
        <f>SUM($X$32,$X$73,$X$74)</f>
        <v>8.2554750659574463</v>
      </c>
      <c r="F6" s="165">
        <f>SUM($Y$32,$Y$73,$Y$74)</f>
        <v>8.2528248331914895</v>
      </c>
      <c r="G6" s="165">
        <f>SUM($V$32,$V$73,$V$74)</f>
        <v>9.7431832291276592</v>
      </c>
      <c r="H6" s="165">
        <f>SUM($W$32,$W$73,$W$74)</f>
        <v>8.3318017696170212</v>
      </c>
      <c r="I6" s="165">
        <f>SUM($X$32,$X$73,$X$74)</f>
        <v>8.2554750659574463</v>
      </c>
      <c r="J6" s="166">
        <f>SUM($Y$32,$Y$73,$Y$74)</f>
        <v>8.2528248331914895</v>
      </c>
      <c r="L6" s="758"/>
      <c r="M6" s="759"/>
      <c r="N6" s="760"/>
      <c r="P6" s="554"/>
      <c r="Q6" s="549"/>
      <c r="R6" s="549"/>
      <c r="S6" s="549"/>
      <c r="T6" s="764" t="s">
        <v>245</v>
      </c>
      <c r="U6" s="765"/>
      <c r="V6" s="570">
        <f t="shared" ref="V6:Y8" si="0">C6/C$10</f>
        <v>4.1639539751647588E-2</v>
      </c>
      <c r="W6" s="571">
        <f t="shared" si="0"/>
        <v>6.9880901687159852E-2</v>
      </c>
      <c r="X6" s="571">
        <f t="shared" si="0"/>
        <v>0.11149472462268278</v>
      </c>
      <c r="Y6" s="571">
        <f t="shared" si="0"/>
        <v>0.14612757061694287</v>
      </c>
    </row>
    <row r="7" spans="1:25" s="81" customFormat="1" ht="14.1" customHeight="1" x14ac:dyDescent="0.2">
      <c r="A7" s="81" t="s">
        <v>243</v>
      </c>
      <c r="B7" s="81" t="s">
        <v>166</v>
      </c>
      <c r="C7" s="167">
        <f>SUM($V$31,$V$33,$V$34,$V$67,$V$68)</f>
        <v>47.089153400000001</v>
      </c>
      <c r="D7" s="167">
        <f>SUM($W$31,$W$33,$W$34,$W$67,$W$68)</f>
        <v>45.038160439999999</v>
      </c>
      <c r="E7" s="167">
        <f>SUM($X$31,$X$33,$X$34,$X$67,$X$68)</f>
        <v>35.097386600000007</v>
      </c>
      <c r="F7" s="167">
        <f>SUM($Y$31,$Y$33,$Y$34,$Y$67,$Y$68)</f>
        <v>34.380228967999997</v>
      </c>
      <c r="G7" s="167">
        <f>SUM($V$31,$V$33,$V$34,$V$67,$V$68,V79)</f>
        <v>47.089153400000001</v>
      </c>
      <c r="H7" s="167">
        <f>SUM($W$31,$W$33,$W$34,$W$67,$W$68,W79)</f>
        <v>45.038160439999999</v>
      </c>
      <c r="I7" s="167">
        <f>SUM($X$31,$X$33,$X$34,$X$67,$X$68,X79)</f>
        <v>35.097386600000007</v>
      </c>
      <c r="J7" s="168">
        <f>SUM($Y$31,$Y$33,$Y$34,$Y$67,$Y$68,Y79)</f>
        <v>34.380228967999997</v>
      </c>
      <c r="L7" s="758"/>
      <c r="M7" s="759"/>
      <c r="N7" s="760"/>
      <c r="P7" s="554"/>
      <c r="Q7" s="549"/>
      <c r="R7" s="549"/>
      <c r="S7" s="549"/>
      <c r="T7" s="764" t="s">
        <v>246</v>
      </c>
      <c r="U7" s="765"/>
      <c r="V7" s="562">
        <f t="shared" si="0"/>
        <v>0.20124538651894835</v>
      </c>
      <c r="W7" s="563">
        <f t="shared" si="0"/>
        <v>0.37774629652798869</v>
      </c>
      <c r="X7" s="563">
        <f t="shared" si="0"/>
        <v>0.47400948130524079</v>
      </c>
      <c r="Y7" s="563">
        <f t="shared" si="0"/>
        <v>0.60874905718861216</v>
      </c>
    </row>
    <row r="8" spans="1:25" s="81" customFormat="1" ht="14.1" customHeight="1" x14ac:dyDescent="0.2">
      <c r="A8" s="81" t="s">
        <v>247</v>
      </c>
      <c r="B8" s="81" t="s">
        <v>248</v>
      </c>
      <c r="C8" s="167">
        <f>SUM($V$46,$V$47)</f>
        <v>177.1563982905983</v>
      </c>
      <c r="D8" s="167">
        <f>SUM($W$46,$W$47)</f>
        <v>65.858633421797578</v>
      </c>
      <c r="E8" s="167">
        <f>SUM($X$46,$X$47)</f>
        <v>30.690776666666672</v>
      </c>
      <c r="F8" s="167">
        <f>SUM($Y$46,$Y$47)</f>
        <v>13.843795833333333</v>
      </c>
      <c r="G8" s="167">
        <f>SUM($V$46,$V$47)</f>
        <v>177.1563982905983</v>
      </c>
      <c r="H8" s="167">
        <f>SUM($W$46,$W$47)</f>
        <v>65.858633421797578</v>
      </c>
      <c r="I8" s="167">
        <f>SUM($X$46,$X$47)</f>
        <v>30.690776666666672</v>
      </c>
      <c r="J8" s="168">
        <f>SUM($Y$46,$Y$47)</f>
        <v>13.843795833333333</v>
      </c>
      <c r="L8" s="761"/>
      <c r="M8" s="762"/>
      <c r="N8" s="763"/>
      <c r="P8" s="554"/>
      <c r="Q8" s="549"/>
      <c r="R8" s="549"/>
      <c r="S8" s="549"/>
      <c r="T8" s="764" t="s">
        <v>249</v>
      </c>
      <c r="U8" s="765"/>
      <c r="V8" s="562">
        <f t="shared" si="0"/>
        <v>0.75711507372940401</v>
      </c>
      <c r="W8" s="563">
        <f t="shared" si="0"/>
        <v>0.55237280178485137</v>
      </c>
      <c r="X8" s="563">
        <f t="shared" si="0"/>
        <v>0.41449579407207637</v>
      </c>
      <c r="Y8" s="563">
        <f t="shared" si="0"/>
        <v>0.24512337219444502</v>
      </c>
    </row>
    <row r="9" spans="1:25" s="81" customFormat="1" ht="14.1" customHeight="1" x14ac:dyDescent="0.2">
      <c r="A9" s="81" t="s">
        <v>250</v>
      </c>
      <c r="B9" s="81" t="s">
        <v>248</v>
      </c>
      <c r="C9" s="167">
        <f>SUM($V$52:$V$55)</f>
        <v>203.72985803418806</v>
      </c>
      <c r="D9" s="167">
        <f>SUM($W$52:$W$55)</f>
        <v>75.737428435067216</v>
      </c>
      <c r="E9" s="167">
        <f>SUM($X$52:$X$55)</f>
        <v>35.294393166666673</v>
      </c>
      <c r="F9" s="167">
        <f>SUM($Y$52:$Y$55)</f>
        <v>15.920365208333333</v>
      </c>
      <c r="G9" s="167">
        <f>SUM($V$52:$V$55)</f>
        <v>203.72985803418806</v>
      </c>
      <c r="H9" s="167">
        <f>SUM($W$52:$W$55)</f>
        <v>75.737428435067216</v>
      </c>
      <c r="I9" s="167">
        <f>SUM($X$52:$X$55)</f>
        <v>35.294393166666673</v>
      </c>
      <c r="J9" s="168">
        <f>SUM($Y$52:$Y$55)</f>
        <v>15.920365208333333</v>
      </c>
      <c r="P9" s="554"/>
      <c r="Q9" s="549"/>
      <c r="R9" s="549"/>
      <c r="S9" s="549"/>
      <c r="T9" s="549"/>
      <c r="U9" s="550"/>
      <c r="V9" s="550"/>
      <c r="W9" s="550"/>
      <c r="X9" s="551"/>
      <c r="Y9" s="555"/>
    </row>
    <row r="10" spans="1:25" s="81" customFormat="1" ht="14.1" customHeight="1" x14ac:dyDescent="0.2">
      <c r="A10" s="526" t="s">
        <v>251</v>
      </c>
      <c r="B10" s="87"/>
      <c r="C10" s="166">
        <f>SUM(C6,C7,C8)</f>
        <v>233.98873491972597</v>
      </c>
      <c r="D10" s="166">
        <f t="shared" ref="D10:J10" si="1">SUM(D6,D7,D8)</f>
        <v>119.22859563141461</v>
      </c>
      <c r="E10" s="166">
        <f t="shared" si="1"/>
        <v>74.043638332624127</v>
      </c>
      <c r="F10" s="166">
        <f t="shared" si="1"/>
        <v>56.476849634524818</v>
      </c>
      <c r="G10" s="166">
        <f>SUM(G6,G7,G8)</f>
        <v>233.98873491972597</v>
      </c>
      <c r="H10" s="166">
        <f t="shared" si="1"/>
        <v>119.22859563141461</v>
      </c>
      <c r="I10" s="166">
        <f t="shared" si="1"/>
        <v>74.043638332624127</v>
      </c>
      <c r="J10" s="166">
        <f t="shared" si="1"/>
        <v>56.476849634524818</v>
      </c>
      <c r="K10" s="97"/>
      <c r="L10" s="779" t="s">
        <v>252</v>
      </c>
      <c r="M10" s="780"/>
      <c r="N10" s="781"/>
      <c r="P10" s="554"/>
      <c r="Q10" s="549"/>
      <c r="R10" s="549"/>
      <c r="S10" s="549"/>
      <c r="T10" s="564" t="s">
        <v>253</v>
      </c>
      <c r="U10" s="550"/>
      <c r="V10" s="550"/>
      <c r="W10" s="550"/>
      <c r="X10" s="551"/>
      <c r="Y10" s="555"/>
    </row>
    <row r="11" spans="1:25" s="81" customFormat="1" ht="14.1" customHeight="1" x14ac:dyDescent="0.2">
      <c r="A11" s="769" t="s">
        <v>254</v>
      </c>
      <c r="B11" s="770"/>
      <c r="C11" s="174">
        <f>SUM(C6,C7,C9)</f>
        <v>260.56219466331572</v>
      </c>
      <c r="D11" s="174">
        <f t="shared" ref="D11:J11" si="2">SUM(D6,D7,D9)</f>
        <v>129.10739064468424</v>
      </c>
      <c r="E11" s="174">
        <f t="shared" si="2"/>
        <v>78.647254832624128</v>
      </c>
      <c r="F11" s="174">
        <f t="shared" si="2"/>
        <v>58.553419009524816</v>
      </c>
      <c r="G11" s="174">
        <f t="shared" si="2"/>
        <v>260.56219466331572</v>
      </c>
      <c r="H11" s="174">
        <f t="shared" si="2"/>
        <v>129.10739064468424</v>
      </c>
      <c r="I11" s="174">
        <f t="shared" si="2"/>
        <v>78.647254832624128</v>
      </c>
      <c r="J11" s="174">
        <f t="shared" si="2"/>
        <v>58.553419009524816</v>
      </c>
      <c r="K11" s="97"/>
      <c r="L11" s="782"/>
      <c r="M11" s="783"/>
      <c r="N11" s="784"/>
      <c r="P11" s="554"/>
      <c r="Q11" s="549"/>
      <c r="R11" s="549"/>
      <c r="S11" s="549"/>
      <c r="T11" s="788" t="s">
        <v>255</v>
      </c>
      <c r="U11" s="788"/>
      <c r="V11" s="788"/>
      <c r="W11" s="788"/>
      <c r="X11" s="788"/>
      <c r="Y11" s="555"/>
    </row>
    <row r="12" spans="1:25" s="81" customFormat="1" ht="15" customHeight="1" x14ac:dyDescent="0.2">
      <c r="A12" s="750" t="s">
        <v>256</v>
      </c>
      <c r="B12" s="751"/>
      <c r="C12" s="245">
        <f>C10*50%+C11*50%</f>
        <v>247.27546479152085</v>
      </c>
      <c r="D12" s="245">
        <f>D10*50%+D11*50%</f>
        <v>124.16799313804943</v>
      </c>
      <c r="E12" s="245">
        <f t="shared" ref="E12:J12" si="3">E10*50%+E11*50%</f>
        <v>76.345446582624135</v>
      </c>
      <c r="F12" s="245">
        <f t="shared" si="3"/>
        <v>57.515134322024821</v>
      </c>
      <c r="G12" s="245">
        <f>G10*50%+G11*50%</f>
        <v>247.27546479152085</v>
      </c>
      <c r="H12" s="245">
        <f t="shared" si="3"/>
        <v>124.16799313804943</v>
      </c>
      <c r="I12" s="245">
        <f t="shared" si="3"/>
        <v>76.345446582624135</v>
      </c>
      <c r="J12" s="245">
        <f t="shared" si="3"/>
        <v>57.515134322024821</v>
      </c>
      <c r="K12" s="97"/>
      <c r="L12" s="782"/>
      <c r="M12" s="783"/>
      <c r="N12" s="784"/>
      <c r="P12" s="554"/>
      <c r="Q12" s="549"/>
      <c r="R12" s="549"/>
      <c r="S12" s="549"/>
      <c r="T12" s="788"/>
      <c r="U12" s="788"/>
      <c r="V12" s="788"/>
      <c r="W12" s="788"/>
      <c r="X12" s="788"/>
      <c r="Y12" s="555"/>
    </row>
    <row r="13" spans="1:25" s="81" customFormat="1" ht="14.1" customHeight="1" x14ac:dyDescent="0.2">
      <c r="A13" s="143" t="s">
        <v>257</v>
      </c>
      <c r="B13" s="63"/>
      <c r="C13" s="63"/>
      <c r="H13" s="64"/>
      <c r="I13" s="64"/>
      <c r="J13" s="64"/>
      <c r="K13" s="97"/>
      <c r="L13" s="782"/>
      <c r="M13" s="783"/>
      <c r="N13" s="784"/>
      <c r="P13" s="554"/>
      <c r="Q13" s="549"/>
      <c r="R13" s="549"/>
      <c r="S13" s="549"/>
      <c r="T13" s="788"/>
      <c r="U13" s="788"/>
      <c r="V13" s="788"/>
      <c r="W13" s="788"/>
      <c r="X13" s="788"/>
      <c r="Y13" s="555"/>
    </row>
    <row r="14" spans="1:25" s="81" customFormat="1" ht="14.1" customHeight="1" x14ac:dyDescent="0.2">
      <c r="A14" s="143"/>
      <c r="B14" s="63"/>
      <c r="C14" s="63"/>
      <c r="H14" s="64"/>
      <c r="I14" s="64"/>
      <c r="J14" s="64"/>
      <c r="K14" s="97"/>
      <c r="L14" s="782"/>
      <c r="M14" s="783"/>
      <c r="N14" s="784"/>
      <c r="P14" s="554"/>
      <c r="Q14" s="549"/>
      <c r="R14" s="549"/>
      <c r="S14" s="549"/>
      <c r="T14" s="788"/>
      <c r="U14" s="788"/>
      <c r="V14" s="788"/>
      <c r="W14" s="788"/>
      <c r="X14" s="788"/>
      <c r="Y14" s="555"/>
    </row>
    <row r="15" spans="1:25" s="81" customFormat="1" ht="14.1" customHeight="1" x14ac:dyDescent="0.2">
      <c r="A15" s="143"/>
      <c r="B15" s="63"/>
      <c r="C15" s="63"/>
      <c r="H15" s="64"/>
      <c r="I15" s="64"/>
      <c r="J15" s="64"/>
      <c r="K15" s="97"/>
      <c r="L15" s="782"/>
      <c r="M15" s="783"/>
      <c r="N15" s="784"/>
      <c r="P15" s="554"/>
      <c r="Q15" s="549"/>
      <c r="R15" s="549"/>
      <c r="S15" s="549"/>
      <c r="T15" s="788"/>
      <c r="U15" s="788"/>
      <c r="V15" s="788"/>
      <c r="W15" s="788"/>
      <c r="X15" s="788"/>
      <c r="Y15" s="555"/>
    </row>
    <row r="16" spans="1:25" s="81" customFormat="1" ht="14.1" customHeight="1" x14ac:dyDescent="0.2">
      <c r="K16" s="97"/>
      <c r="L16" s="782"/>
      <c r="M16" s="783"/>
      <c r="N16" s="784"/>
      <c r="P16" s="554"/>
      <c r="Q16" s="549"/>
      <c r="R16" s="549"/>
      <c r="S16" s="549"/>
      <c r="T16" s="549"/>
      <c r="U16" s="550"/>
      <c r="V16" s="550"/>
      <c r="W16" s="550"/>
      <c r="X16" s="551"/>
      <c r="Y16" s="555"/>
    </row>
    <row r="17" spans="1:31" s="81" customFormat="1" ht="14.1" customHeight="1" x14ac:dyDescent="0.2">
      <c r="K17" s="97"/>
      <c r="L17" s="782"/>
      <c r="M17" s="783"/>
      <c r="N17" s="784"/>
      <c r="P17" s="554"/>
      <c r="Q17" s="549"/>
      <c r="R17" s="549"/>
      <c r="S17" s="549"/>
      <c r="T17" s="549"/>
      <c r="U17" s="550"/>
      <c r="V17" s="550"/>
      <c r="W17" s="550"/>
      <c r="X17" s="551"/>
      <c r="Y17" s="555"/>
    </row>
    <row r="18" spans="1:31" s="81" customFormat="1" ht="14.1" customHeight="1" x14ac:dyDescent="0.2">
      <c r="K18" s="97"/>
      <c r="L18" s="785"/>
      <c r="M18" s="786"/>
      <c r="N18" s="787"/>
      <c r="P18" s="556"/>
      <c r="Q18" s="557"/>
      <c r="R18" s="557"/>
      <c r="S18" s="557"/>
      <c r="T18" s="557"/>
      <c r="U18" s="558"/>
      <c r="V18" s="558"/>
      <c r="W18" s="558"/>
      <c r="X18" s="559"/>
      <c r="Y18" s="560"/>
    </row>
    <row r="19" spans="1:31" ht="14.1" customHeight="1" x14ac:dyDescent="0.2">
      <c r="A19" s="143" t="s">
        <v>258</v>
      </c>
      <c r="B19" s="59"/>
      <c r="C19" s="59"/>
      <c r="D19" s="135"/>
      <c r="E19" s="135"/>
      <c r="F19" s="135"/>
      <c r="G19" s="135"/>
      <c r="H19" s="61"/>
      <c r="I19" s="61"/>
      <c r="J19" s="61"/>
      <c r="K19" s="83"/>
      <c r="L19" s="83"/>
      <c r="M19" s="83"/>
      <c r="N19" s="83"/>
      <c r="O19" s="83"/>
      <c r="P19" s="120"/>
      <c r="Q19" s="120"/>
      <c r="R19" s="83"/>
      <c r="S19" s="83"/>
      <c r="T19" s="83"/>
      <c r="U19" s="155"/>
      <c r="V19" s="83"/>
      <c r="W19" s="83"/>
      <c r="X19" s="83"/>
      <c r="Y19" s="83"/>
      <c r="AA19" s="81"/>
      <c r="AB19" s="81"/>
      <c r="AC19" s="81"/>
      <c r="AD19" s="81"/>
      <c r="AE19" s="81"/>
    </row>
    <row r="20" spans="1:31" s="136" customFormat="1" ht="14.1" customHeight="1" x14ac:dyDescent="0.2">
      <c r="A20" s="766" t="s">
        <v>259</v>
      </c>
      <c r="B20" s="767"/>
      <c r="C20" s="768"/>
      <c r="D20" s="822" t="s">
        <v>2</v>
      </c>
      <c r="E20" s="823"/>
      <c r="F20" s="823"/>
      <c r="G20" s="824"/>
      <c r="H20" s="766" t="s">
        <v>260</v>
      </c>
      <c r="I20" s="768"/>
      <c r="J20" s="747" t="s">
        <v>261</v>
      </c>
      <c r="K20" s="752" t="s">
        <v>262</v>
      </c>
      <c r="L20" s="753"/>
      <c r="M20" s="753"/>
      <c r="N20" s="754"/>
      <c r="O20" s="777" t="s">
        <v>263</v>
      </c>
      <c r="P20" s="746" t="s">
        <v>264</v>
      </c>
      <c r="Q20" s="747"/>
      <c r="R20" s="777" t="s">
        <v>265</v>
      </c>
      <c r="S20" s="746" t="s">
        <v>163</v>
      </c>
      <c r="T20" s="747"/>
      <c r="U20" s="775" t="s">
        <v>266</v>
      </c>
      <c r="V20" s="766" t="s">
        <v>267</v>
      </c>
      <c r="W20" s="767"/>
      <c r="X20" s="767"/>
      <c r="Y20" s="768"/>
      <c r="AA20" s="81"/>
      <c r="AB20" s="81"/>
      <c r="AC20" s="81"/>
      <c r="AD20" s="81"/>
      <c r="AE20" s="81"/>
    </row>
    <row r="21" spans="1:31" s="136" customFormat="1" ht="14.1" customHeight="1" x14ac:dyDescent="0.2">
      <c r="A21" s="772"/>
      <c r="B21" s="773"/>
      <c r="C21" s="774"/>
      <c r="D21" s="825"/>
      <c r="E21" s="826"/>
      <c r="F21" s="826"/>
      <c r="G21" s="827"/>
      <c r="H21" s="772"/>
      <c r="I21" s="774"/>
      <c r="J21" s="771"/>
      <c r="K21" s="249" t="s">
        <v>242</v>
      </c>
      <c r="L21" s="249" t="s">
        <v>268</v>
      </c>
      <c r="M21" s="249" t="s">
        <v>229</v>
      </c>
      <c r="N21" s="249" t="s">
        <v>241</v>
      </c>
      <c r="O21" s="778"/>
      <c r="P21" s="748"/>
      <c r="Q21" s="749"/>
      <c r="R21" s="778"/>
      <c r="S21" s="748"/>
      <c r="T21" s="749"/>
      <c r="U21" s="776"/>
      <c r="V21" s="54" t="s">
        <v>220</v>
      </c>
      <c r="W21" s="54" t="s">
        <v>221</v>
      </c>
      <c r="X21" s="54" t="s">
        <v>222</v>
      </c>
      <c r="Y21" s="54" t="s">
        <v>241</v>
      </c>
      <c r="AA21" s="81"/>
      <c r="AB21" s="81"/>
      <c r="AC21" s="81"/>
      <c r="AD21" s="81"/>
      <c r="AE21" s="81"/>
    </row>
    <row r="22" spans="1:31" ht="14.1" customHeight="1" x14ac:dyDescent="0.2">
      <c r="A22" s="78"/>
      <c r="B22" s="137"/>
      <c r="C22" s="528"/>
      <c r="D22" s="798" t="s">
        <v>269</v>
      </c>
      <c r="E22" s="799"/>
      <c r="F22" s="799"/>
      <c r="G22" s="800"/>
      <c r="H22" s="38" t="s">
        <v>270</v>
      </c>
      <c r="I22" s="45"/>
      <c r="J22" s="50" t="s">
        <v>171</v>
      </c>
      <c r="K22" s="129"/>
      <c r="L22" s="129"/>
      <c r="M22" s="129"/>
      <c r="N22" s="129"/>
      <c r="O22" s="102"/>
      <c r="P22" s="737" t="s">
        <v>271</v>
      </c>
      <c r="Q22" s="738"/>
      <c r="R22" s="129"/>
      <c r="S22" s="102"/>
      <c r="T22" s="102"/>
      <c r="U22" s="144"/>
      <c r="V22" s="144"/>
      <c r="W22" s="144"/>
      <c r="X22" s="144"/>
      <c r="Y22" s="144"/>
      <c r="AA22" s="81"/>
      <c r="AB22" s="81"/>
      <c r="AC22" s="81"/>
      <c r="AD22" s="81"/>
      <c r="AE22" s="81"/>
    </row>
    <row r="23" spans="1:31" ht="14.1" customHeight="1" x14ac:dyDescent="0.2">
      <c r="A23" s="138"/>
      <c r="B23" s="112"/>
      <c r="C23" s="265"/>
      <c r="D23" s="801"/>
      <c r="E23" s="802"/>
      <c r="F23" s="802"/>
      <c r="G23" s="803"/>
      <c r="H23" s="741" t="s">
        <v>272</v>
      </c>
      <c r="I23" s="742"/>
      <c r="J23" s="183" t="s">
        <v>171</v>
      </c>
      <c r="K23" s="176"/>
      <c r="L23" s="176"/>
      <c r="M23" s="176"/>
      <c r="N23" s="176"/>
      <c r="O23" s="77"/>
      <c r="P23" s="739"/>
      <c r="Q23" s="740"/>
      <c r="R23" s="176"/>
      <c r="S23" s="77"/>
      <c r="T23" s="77"/>
      <c r="U23" s="151"/>
      <c r="V23" s="145"/>
      <c r="W23" s="145"/>
      <c r="X23" s="145"/>
      <c r="Y23" s="145"/>
      <c r="AA23" s="81"/>
      <c r="AB23" s="81"/>
      <c r="AC23" s="81"/>
      <c r="AD23" s="81"/>
      <c r="AE23" s="81"/>
    </row>
    <row r="24" spans="1:31" ht="14.1" customHeight="1" x14ac:dyDescent="0.2">
      <c r="A24" s="138"/>
      <c r="B24" s="112"/>
      <c r="C24" s="265"/>
      <c r="D24" s="801"/>
      <c r="E24" s="802"/>
      <c r="F24" s="802"/>
      <c r="G24" s="803"/>
      <c r="H24" s="27"/>
      <c r="I24" s="24"/>
      <c r="J24" s="46"/>
      <c r="K24" s="66"/>
      <c r="L24" s="66"/>
      <c r="M24" s="66"/>
      <c r="N24" s="66"/>
      <c r="O24" s="69"/>
      <c r="P24" s="33"/>
      <c r="Q24" s="44"/>
      <c r="R24" s="66"/>
      <c r="S24" s="69"/>
      <c r="T24" s="69" t="str">
        <f>IF(J24="TBO's",'3. Parameters kostprijsmodel'!$C$9,IF('5. Vegetatiekartering'!J24="Karteerbureau",'3. Parameters kostprijsmodel'!#REF!,""))</f>
        <v/>
      </c>
      <c r="U24" s="146"/>
      <c r="V24" s="146" t="str">
        <f>IF(H24="","",(K24*R24*T24+U24))</f>
        <v/>
      </c>
      <c r="W24" s="146" t="str">
        <f>IF(H24="","",(L24*R24*(T24+U24)))</f>
        <v/>
      </c>
      <c r="X24" s="146"/>
      <c r="Y24" s="146"/>
      <c r="AA24" s="81"/>
      <c r="AB24" s="81"/>
      <c r="AC24" s="81"/>
      <c r="AD24" s="81"/>
      <c r="AE24" s="81"/>
    </row>
    <row r="25" spans="1:31" ht="14.1" customHeight="1" x14ac:dyDescent="0.2">
      <c r="A25" s="138"/>
      <c r="B25" s="112"/>
      <c r="C25" s="265"/>
      <c r="D25" s="801"/>
      <c r="E25" s="802"/>
      <c r="F25" s="802"/>
      <c r="G25" s="803"/>
      <c r="H25" s="27"/>
      <c r="I25" s="26"/>
      <c r="J25" s="46"/>
      <c r="K25" s="66"/>
      <c r="L25" s="66"/>
      <c r="M25" s="66"/>
      <c r="N25" s="66"/>
      <c r="O25" s="69"/>
      <c r="P25" s="260"/>
      <c r="Q25" s="24"/>
      <c r="R25" s="66"/>
      <c r="S25" s="69"/>
      <c r="T25" s="69" t="str">
        <f>IF(J25="TBO's",'3. Parameters kostprijsmodel'!$C$9,IF('5. Vegetatiekartering'!J25="Karteerbureau",'3. Parameters kostprijsmodel'!#REF!,""))</f>
        <v/>
      </c>
      <c r="U25" s="146"/>
      <c r="V25" s="146" t="str">
        <f>IF(H25="","",(K25*R25*T25+U25))</f>
        <v/>
      </c>
      <c r="W25" s="146" t="str">
        <f>IF(H25="","",(L25*R25*(T25+U25)))</f>
        <v/>
      </c>
      <c r="X25" s="146"/>
      <c r="Y25" s="146"/>
      <c r="AA25" s="81"/>
      <c r="AB25" s="81"/>
      <c r="AC25" s="81"/>
      <c r="AD25" s="81"/>
      <c r="AE25" s="81"/>
    </row>
    <row r="26" spans="1:31" ht="14.1" customHeight="1" x14ac:dyDescent="0.2">
      <c r="A26" s="138"/>
      <c r="B26" s="112"/>
      <c r="C26" s="265"/>
      <c r="D26" s="801"/>
      <c r="E26" s="802"/>
      <c r="F26" s="802"/>
      <c r="G26" s="803"/>
      <c r="H26" s="27"/>
      <c r="I26" s="26"/>
      <c r="J26" s="46"/>
      <c r="K26" s="66"/>
      <c r="L26" s="66"/>
      <c r="M26" s="66"/>
      <c r="N26" s="66"/>
      <c r="O26" s="69"/>
      <c r="P26" s="260"/>
      <c r="Q26" s="24"/>
      <c r="R26" s="66"/>
      <c r="S26" s="69"/>
      <c r="T26" s="69" t="str">
        <f>IF(J26="TBO's",'3. Parameters kostprijsmodel'!$C$9,IF('5. Vegetatiekartering'!J26="Karteerbureau",'3. Parameters kostprijsmodel'!#REF!,""))</f>
        <v/>
      </c>
      <c r="U26" s="146"/>
      <c r="V26" s="146" t="str">
        <f>IF(H26="","",(K26*R26*T26+U26))</f>
        <v/>
      </c>
      <c r="W26" s="146" t="str">
        <f>IF(H26="","",(L26*R26*(T26+U26)))</f>
        <v/>
      </c>
      <c r="X26" s="146"/>
      <c r="Y26" s="146"/>
      <c r="AA26" s="81"/>
      <c r="AB26" s="81"/>
      <c r="AC26" s="81"/>
      <c r="AD26" s="81"/>
      <c r="AE26" s="81"/>
    </row>
    <row r="27" spans="1:31" ht="14.1" customHeight="1" x14ac:dyDescent="0.2">
      <c r="A27" s="138"/>
      <c r="B27" s="112"/>
      <c r="C27" s="265"/>
      <c r="D27" s="801"/>
      <c r="E27" s="802"/>
      <c r="F27" s="802"/>
      <c r="G27" s="803"/>
      <c r="H27" s="27"/>
      <c r="I27" s="26"/>
      <c r="J27" s="46"/>
      <c r="K27" s="66"/>
      <c r="L27" s="66"/>
      <c r="M27" s="66"/>
      <c r="N27" s="66"/>
      <c r="O27" s="69"/>
      <c r="P27" s="260"/>
      <c r="Q27" s="24"/>
      <c r="R27" s="66"/>
      <c r="S27" s="69"/>
      <c r="T27" s="69" t="str">
        <f>IF(J27="TBO's",'3. Parameters kostprijsmodel'!$C$9,IF('5. Vegetatiekartering'!J27="Karteerbureau",'3. Parameters kostprijsmodel'!#REF!,""))</f>
        <v/>
      </c>
      <c r="U27" s="146"/>
      <c r="V27" s="146"/>
      <c r="W27" s="146"/>
      <c r="X27" s="146"/>
      <c r="Y27" s="146"/>
      <c r="AA27" s="81"/>
      <c r="AB27" s="81"/>
      <c r="AC27" s="81"/>
      <c r="AD27" s="81"/>
      <c r="AE27" s="81"/>
    </row>
    <row r="28" spans="1:31" ht="14.1" customHeight="1" x14ac:dyDescent="0.2">
      <c r="A28" s="138"/>
      <c r="B28" s="112"/>
      <c r="C28" s="265"/>
      <c r="D28" s="801"/>
      <c r="E28" s="802"/>
      <c r="F28" s="802"/>
      <c r="G28" s="803"/>
      <c r="H28" s="27"/>
      <c r="I28" s="26"/>
      <c r="J28" s="46"/>
      <c r="K28" s="66"/>
      <c r="L28" s="66"/>
      <c r="M28" s="66"/>
      <c r="N28" s="66"/>
      <c r="O28" s="69"/>
      <c r="P28" s="260"/>
      <c r="Q28" s="24"/>
      <c r="R28" s="66"/>
      <c r="S28" s="69"/>
      <c r="T28" s="69" t="str">
        <f>IF(J28="TBO's",'3. Parameters kostprijsmodel'!$C$9,IF('5. Vegetatiekartering'!J28="Karteerbureau",'3. Parameters kostprijsmodel'!#REF!,""))</f>
        <v/>
      </c>
      <c r="U28" s="146"/>
      <c r="V28" s="146"/>
      <c r="W28" s="146"/>
      <c r="X28" s="146"/>
      <c r="Y28" s="146"/>
      <c r="AA28" s="81"/>
      <c r="AB28" s="81"/>
      <c r="AC28" s="81"/>
      <c r="AD28" s="81"/>
      <c r="AE28" s="81"/>
    </row>
    <row r="29" spans="1:31" ht="14.1" customHeight="1" x14ac:dyDescent="0.2">
      <c r="A29" s="138"/>
      <c r="B29" s="112"/>
      <c r="C29" s="265"/>
      <c r="D29" s="801"/>
      <c r="E29" s="802"/>
      <c r="F29" s="802"/>
      <c r="G29" s="803"/>
      <c r="H29" s="27"/>
      <c r="I29" s="26"/>
      <c r="J29" s="46"/>
      <c r="K29" s="66"/>
      <c r="L29" s="66"/>
      <c r="M29" s="66"/>
      <c r="N29" s="66"/>
      <c r="O29" s="69"/>
      <c r="P29" s="260"/>
      <c r="Q29" s="24"/>
      <c r="R29" s="66"/>
      <c r="S29" s="69"/>
      <c r="T29" s="69"/>
      <c r="U29" s="146"/>
      <c r="V29" s="146"/>
      <c r="W29" s="146"/>
      <c r="X29" s="146"/>
      <c r="Y29" s="146"/>
      <c r="AA29" s="81"/>
      <c r="AB29" s="81"/>
      <c r="AC29" s="81"/>
      <c r="AD29" s="81"/>
      <c r="AE29" s="81"/>
    </row>
    <row r="30" spans="1:31" ht="14.45" customHeight="1" x14ac:dyDescent="0.2">
      <c r="A30" s="138"/>
      <c r="B30" s="112"/>
      <c r="C30" s="265"/>
      <c r="D30" s="804"/>
      <c r="E30" s="805"/>
      <c r="F30" s="805"/>
      <c r="G30" s="806"/>
      <c r="H30" s="27"/>
      <c r="I30" s="26"/>
      <c r="J30" s="46"/>
      <c r="K30" s="66"/>
      <c r="L30" s="66"/>
      <c r="M30" s="66"/>
      <c r="N30" s="66"/>
      <c r="O30" s="69"/>
      <c r="P30" s="261"/>
      <c r="Q30" s="198"/>
      <c r="R30" s="66"/>
      <c r="S30" s="69"/>
      <c r="T30" s="69" t="str">
        <f>IF(J30="TBO's",'3. Parameters kostprijsmodel'!$C$9,IF('5. Vegetatiekartering'!J30="Karteerbureau",'3. Parameters kostprijsmodel'!#REF!,""))</f>
        <v/>
      </c>
      <c r="U30" s="146"/>
      <c r="V30" s="146"/>
      <c r="W30" s="146"/>
      <c r="X30" s="146"/>
      <c r="Y30" s="146"/>
      <c r="AA30" s="81"/>
      <c r="AB30" s="81"/>
      <c r="AC30" s="81"/>
      <c r="AD30" s="81"/>
      <c r="AE30" s="81"/>
    </row>
    <row r="31" spans="1:31" ht="14.1" customHeight="1" x14ac:dyDescent="0.15">
      <c r="A31" s="78"/>
      <c r="B31" s="137"/>
      <c r="C31" s="528"/>
      <c r="D31" s="798" t="s">
        <v>273</v>
      </c>
      <c r="E31" s="799"/>
      <c r="F31" s="799"/>
      <c r="G31" s="800"/>
      <c r="H31" s="34" t="s">
        <v>274</v>
      </c>
      <c r="I31" s="35"/>
      <c r="J31" s="506" t="s">
        <v>166</v>
      </c>
      <c r="K31" s="258">
        <f>40.97/'3. Parameters kostprijsmodel'!C29</f>
        <v>0.16388</v>
      </c>
      <c r="L31" s="258">
        <f>40.762/'3. Parameters kostprijsmodel'!$C$29</f>
        <v>0.163048</v>
      </c>
      <c r="M31" s="258">
        <f>31.065/'3. Parameters kostprijsmodel'!$C$29</f>
        <v>0.12426000000000001</v>
      </c>
      <c r="N31" s="258">
        <f>31.065/'3. Parameters kostprijsmodel'!$C$29</f>
        <v>0.12426000000000001</v>
      </c>
      <c r="O31" s="67" t="s">
        <v>275</v>
      </c>
      <c r="P31" s="727" t="s">
        <v>276</v>
      </c>
      <c r="Q31" s="728"/>
      <c r="R31" s="71">
        <v>1</v>
      </c>
      <c r="S31" s="164" t="s">
        <v>167</v>
      </c>
      <c r="T31" s="267">
        <f>IF(S31='3. Parameters kostprijsmodel'!$C$9,'3. Parameters kostprijsmodel'!$D$9,IF(S31='3. Parameters kostprijsmodel'!$C$10,'3. Parameters kostprijsmodel'!$D$10,IF(S31='3. Parameters kostprijsmodel'!$C$11,'3. Parameters kostprijsmodel'!$D$11,"")))</f>
        <v>91.68</v>
      </c>
      <c r="U31" s="156">
        <v>0</v>
      </c>
      <c r="V31" s="147">
        <f>IF($H31="","",(K31*$R31*$T31+$U31))</f>
        <v>15.024518400000002</v>
      </c>
      <c r="W31" s="147">
        <f t="shared" ref="V31:Y34" si="4">IF($H31="","",(L31*$R31*$T31+$U31))</f>
        <v>14.948240640000002</v>
      </c>
      <c r="X31" s="147">
        <f t="shared" si="4"/>
        <v>11.392156800000002</v>
      </c>
      <c r="Y31" s="147">
        <f t="shared" si="4"/>
        <v>11.392156800000002</v>
      </c>
      <c r="AA31" s="81"/>
      <c r="AB31" s="81"/>
      <c r="AC31" s="81"/>
      <c r="AD31" s="81"/>
      <c r="AE31" s="81"/>
    </row>
    <row r="32" spans="1:31" ht="14.1" customHeight="1" x14ac:dyDescent="0.15">
      <c r="A32" s="138"/>
      <c r="B32" s="112"/>
      <c r="C32" s="265"/>
      <c r="D32" s="801"/>
      <c r="E32" s="802"/>
      <c r="F32" s="802"/>
      <c r="G32" s="803"/>
      <c r="H32" s="735" t="s">
        <v>277</v>
      </c>
      <c r="I32" s="736"/>
      <c r="J32" s="47" t="s">
        <v>171</v>
      </c>
      <c r="K32" s="258">
        <f>6.5/'3. Parameters kostprijsmodel'!C29</f>
        <v>2.5999999999999999E-2</v>
      </c>
      <c r="L32" s="258">
        <f>4.5/'3. Parameters kostprijsmodel'!C29</f>
        <v>1.7999999999999999E-2</v>
      </c>
      <c r="M32" s="258">
        <f>4.42/'3. Parameters kostprijsmodel'!$C$29</f>
        <v>1.7680000000000001E-2</v>
      </c>
      <c r="N32" s="258">
        <f>4.41/'3. Parameters kostprijsmodel'!$C$29</f>
        <v>1.7639999999999999E-2</v>
      </c>
      <c r="O32" s="67" t="s">
        <v>275</v>
      </c>
      <c r="P32" s="727" t="s">
        <v>276</v>
      </c>
      <c r="Q32" s="728"/>
      <c r="R32" s="65">
        <v>1</v>
      </c>
      <c r="S32" s="197" t="s">
        <v>172</v>
      </c>
      <c r="T32" s="267">
        <f>IF(S32='3. Parameters kostprijsmodel'!$C$9,'3. Parameters kostprijsmodel'!$D$9,IF(S32='3. Parameters kostprijsmodel'!$C$10,'3. Parameters kostprijsmodel'!$D$10,IF(S32='3. Parameters kostprijsmodel'!$C$11,'3. Parameters kostprijsmodel'!$D$11,"")))</f>
        <v>66.255819148936169</v>
      </c>
      <c r="U32" s="157">
        <v>0</v>
      </c>
      <c r="V32" s="148">
        <f t="shared" si="4"/>
        <v>1.7226512978723403</v>
      </c>
      <c r="W32" s="148">
        <f t="shared" si="4"/>
        <v>1.192604744680851</v>
      </c>
      <c r="X32" s="148">
        <f>IF($H32="","",(M32*$R32*$T32+$U32))</f>
        <v>1.1714028825531915</v>
      </c>
      <c r="Y32" s="148">
        <f t="shared" si="4"/>
        <v>1.168752649787234</v>
      </c>
      <c r="AA32" s="81"/>
      <c r="AB32" s="81"/>
      <c r="AC32" s="81"/>
      <c r="AD32" s="81"/>
      <c r="AE32" s="81"/>
    </row>
    <row r="33" spans="1:31" ht="14.1" customHeight="1" x14ac:dyDescent="0.2">
      <c r="A33" s="138"/>
      <c r="B33" s="112"/>
      <c r="C33" s="265"/>
      <c r="D33" s="801"/>
      <c r="E33" s="802"/>
      <c r="F33" s="802"/>
      <c r="G33" s="803"/>
      <c r="H33" s="735" t="s">
        <v>277</v>
      </c>
      <c r="I33" s="736"/>
      <c r="J33" s="47" t="s">
        <v>166</v>
      </c>
      <c r="K33" s="258">
        <f>6.75/'3. Parameters kostprijsmodel'!C29</f>
        <v>2.7E-2</v>
      </c>
      <c r="L33" s="258">
        <f>4.83/'3. Parameters kostprijsmodel'!C29</f>
        <v>1.932E-2</v>
      </c>
      <c r="M33" s="258">
        <f>4.75/'3. Parameters kostprijsmodel'!$C$29</f>
        <v>1.9E-2</v>
      </c>
      <c r="N33" s="258">
        <f>4.75/'3. Parameters kostprijsmodel'!$C$29</f>
        <v>1.9E-2</v>
      </c>
      <c r="O33" s="103" t="s">
        <v>275</v>
      </c>
      <c r="P33" s="727" t="s">
        <v>276</v>
      </c>
      <c r="Q33" s="728"/>
      <c r="R33" s="68">
        <v>1</v>
      </c>
      <c r="S33" s="197" t="s">
        <v>167</v>
      </c>
      <c r="T33" s="197">
        <f>IF(S33='3. Parameters kostprijsmodel'!$C$9,'3. Parameters kostprijsmodel'!$D$9,IF(S33='3. Parameters kostprijsmodel'!$C$10,'3. Parameters kostprijsmodel'!$D$10,IF(S33='3. Parameters kostprijsmodel'!$C$11,'3. Parameters kostprijsmodel'!$D$11,"")))</f>
        <v>91.68</v>
      </c>
      <c r="U33" s="158">
        <v>0</v>
      </c>
      <c r="V33" s="149">
        <f t="shared" si="4"/>
        <v>2.4753600000000002</v>
      </c>
      <c r="W33" s="149">
        <f t="shared" si="4"/>
        <v>1.7712576000000002</v>
      </c>
      <c r="X33" s="149">
        <f t="shared" si="4"/>
        <v>1.7419200000000001</v>
      </c>
      <c r="Y33" s="149">
        <f t="shared" si="4"/>
        <v>1.7419200000000001</v>
      </c>
      <c r="AA33" s="81"/>
      <c r="AB33" s="81"/>
      <c r="AC33" s="81"/>
      <c r="AD33" s="81"/>
      <c r="AE33" s="81"/>
    </row>
    <row r="34" spans="1:31" ht="14.1" customHeight="1" x14ac:dyDescent="0.2">
      <c r="A34" s="138"/>
      <c r="B34" s="112"/>
      <c r="C34" s="265"/>
      <c r="D34" s="801"/>
      <c r="E34" s="802"/>
      <c r="F34" s="802"/>
      <c r="G34" s="803"/>
      <c r="H34" s="733" t="s">
        <v>278</v>
      </c>
      <c r="I34" s="734"/>
      <c r="J34" s="529" t="s">
        <v>166</v>
      </c>
      <c r="K34" s="258">
        <f>10.625/'3. Parameters kostprijsmodel'!C29</f>
        <v>4.2500000000000003E-2</v>
      </c>
      <c r="L34" s="258">
        <f>9.833/'3. Parameters kostprijsmodel'!C29</f>
        <v>3.9331999999999999E-2</v>
      </c>
      <c r="M34" s="258">
        <f>7.667/'3. Parameters kostprijsmodel'!$C$29</f>
        <v>3.0668000000000001E-2</v>
      </c>
      <c r="N34" s="258">
        <f>7.667/'3. Parameters kostprijsmodel'!$C$29</f>
        <v>3.0668000000000001E-2</v>
      </c>
      <c r="O34" s="68" t="s">
        <v>275</v>
      </c>
      <c r="P34" s="727" t="s">
        <v>276</v>
      </c>
      <c r="Q34" s="728"/>
      <c r="R34" s="68">
        <v>1</v>
      </c>
      <c r="S34" s="158" t="s">
        <v>169</v>
      </c>
      <c r="T34" s="158">
        <f>IF(S34='3. Parameters kostprijsmodel'!$C$9,'3. Parameters kostprijsmodel'!$D$9,IF(S34='3. Parameters kostprijsmodel'!$C$10,'3. Parameters kostprijsmodel'!$D$10,IF(S34='3. Parameters kostprijsmodel'!$C$11,'3. Parameters kostprijsmodel'!$D$11,"")))</f>
        <v>76.03</v>
      </c>
      <c r="U34" s="158">
        <v>0</v>
      </c>
      <c r="V34" s="149">
        <f t="shared" si="4"/>
        <v>3.2312750000000001</v>
      </c>
      <c r="W34" s="149">
        <f>IF($H34="","",(L34*$R34*$T34+$U34))</f>
        <v>2.9904119599999999</v>
      </c>
      <c r="X34" s="149">
        <f t="shared" si="4"/>
        <v>2.33168804</v>
      </c>
      <c r="Y34" s="149">
        <f t="shared" si="4"/>
        <v>2.33168804</v>
      </c>
      <c r="AA34" s="81"/>
      <c r="AB34" s="81"/>
      <c r="AC34" s="81"/>
      <c r="AD34" s="81"/>
      <c r="AE34" s="81"/>
    </row>
    <row r="35" spans="1:31" ht="14.1" customHeight="1" x14ac:dyDescent="0.2">
      <c r="A35" s="138"/>
      <c r="B35" s="112"/>
      <c r="C35" s="265"/>
      <c r="D35" s="801"/>
      <c r="E35" s="802"/>
      <c r="F35" s="802"/>
      <c r="G35" s="803"/>
      <c r="H35" s="27"/>
      <c r="I35" s="26"/>
      <c r="J35" s="46"/>
      <c r="K35" s="72"/>
      <c r="L35" s="72"/>
      <c r="M35" s="72"/>
      <c r="N35" s="72"/>
      <c r="O35" s="73"/>
      <c r="P35" s="92"/>
      <c r="Q35" s="259"/>
      <c r="R35" s="66"/>
      <c r="S35" s="73"/>
      <c r="T35" s="73" t="str">
        <f>IF(S35='3. Parameters kostprijsmodel'!$C$9,'3. Parameters kostprijsmodel'!$D$9,IF(S35='3. Parameters kostprijsmodel'!$C$10,'3. Parameters kostprijsmodel'!$D$10,IF(S35='3. Parameters kostprijsmodel'!$C$11,'3. Parameters kostprijsmodel'!$D$11,"")))</f>
        <v/>
      </c>
      <c r="U35" s="146"/>
      <c r="V35" s="146" t="str">
        <f>IF(H35="","",(K35*R35*T35+U35))</f>
        <v/>
      </c>
      <c r="W35" s="146" t="str">
        <f>IF(H35="","",(L35*R35*(T35+U35)))</f>
        <v/>
      </c>
      <c r="X35" s="146"/>
      <c r="Y35" s="146"/>
      <c r="AA35" s="81"/>
      <c r="AB35" s="81"/>
      <c r="AC35" s="81"/>
      <c r="AD35" s="81"/>
      <c r="AE35" s="81"/>
    </row>
    <row r="36" spans="1:31" ht="14.1" customHeight="1" x14ac:dyDescent="0.2">
      <c r="A36" s="138"/>
      <c r="B36" s="112"/>
      <c r="C36" s="265"/>
      <c r="D36" s="801"/>
      <c r="E36" s="802"/>
      <c r="F36" s="802"/>
      <c r="G36" s="803"/>
      <c r="H36" s="27"/>
      <c r="I36" s="26"/>
      <c r="J36" s="46"/>
      <c r="K36" s="72"/>
      <c r="L36" s="72"/>
      <c r="M36" s="72"/>
      <c r="N36" s="72"/>
      <c r="O36" s="73"/>
      <c r="P36" s="92"/>
      <c r="Q36" s="259"/>
      <c r="R36" s="66"/>
      <c r="S36" s="73"/>
      <c r="T36" s="73" t="str">
        <f>IF(S36='3. Parameters kostprijsmodel'!$C$9,'3. Parameters kostprijsmodel'!$D$9,IF(S36='3. Parameters kostprijsmodel'!$C$10,'3. Parameters kostprijsmodel'!$D$10,IF(S36='3. Parameters kostprijsmodel'!$C$11,'3. Parameters kostprijsmodel'!$D$11,"")))</f>
        <v/>
      </c>
      <c r="U36" s="146"/>
      <c r="V36" s="146"/>
      <c r="W36" s="146"/>
      <c r="X36" s="146"/>
      <c r="Y36" s="146"/>
      <c r="AA36" s="81"/>
      <c r="AB36" s="81"/>
      <c r="AC36" s="81"/>
      <c r="AD36" s="81"/>
      <c r="AE36" s="81"/>
    </row>
    <row r="37" spans="1:31" ht="14.1" customHeight="1" x14ac:dyDescent="0.2">
      <c r="A37" s="138"/>
      <c r="B37" s="112"/>
      <c r="C37" s="265"/>
      <c r="D37" s="801"/>
      <c r="E37" s="802"/>
      <c r="F37" s="802"/>
      <c r="G37" s="803"/>
      <c r="H37" s="27"/>
      <c r="I37" s="26"/>
      <c r="J37" s="46"/>
      <c r="K37" s="72"/>
      <c r="L37" s="72"/>
      <c r="M37" s="72"/>
      <c r="N37" s="72"/>
      <c r="O37" s="73"/>
      <c r="P37" s="92"/>
      <c r="Q37" s="259"/>
      <c r="R37" s="66"/>
      <c r="S37" s="73"/>
      <c r="T37" s="73" t="str">
        <f>IF(S37='3. Parameters kostprijsmodel'!$C$9,'3. Parameters kostprijsmodel'!$D$9,IF(S37='3. Parameters kostprijsmodel'!$C$10,'3. Parameters kostprijsmodel'!$D$10,IF(S37='3. Parameters kostprijsmodel'!$C$11,'3. Parameters kostprijsmodel'!$D$11,"")))</f>
        <v/>
      </c>
      <c r="U37" s="146"/>
      <c r="V37" s="146"/>
      <c r="W37" s="146"/>
      <c r="X37" s="146"/>
      <c r="Y37" s="146"/>
    </row>
    <row r="38" spans="1:31" ht="14.1" customHeight="1" x14ac:dyDescent="0.2">
      <c r="A38" s="138"/>
      <c r="B38" s="112"/>
      <c r="C38" s="265"/>
      <c r="D38" s="804"/>
      <c r="E38" s="805"/>
      <c r="F38" s="805"/>
      <c r="G38" s="806"/>
      <c r="H38" s="27"/>
      <c r="I38" s="26"/>
      <c r="J38" s="46"/>
      <c r="K38" s="72"/>
      <c r="L38" s="72"/>
      <c r="M38" s="72"/>
      <c r="N38" s="72"/>
      <c r="O38" s="73"/>
      <c r="P38" s="92"/>
      <c r="Q38" s="259"/>
      <c r="R38" s="66"/>
      <c r="S38" s="73"/>
      <c r="T38" s="73" t="str">
        <f>IF(S38='3. Parameters kostprijsmodel'!$C$9,'3. Parameters kostprijsmodel'!$D$9,IF(S38='3. Parameters kostprijsmodel'!$C$10,'3. Parameters kostprijsmodel'!$D$10,IF(S38='3. Parameters kostprijsmodel'!$C$11,'3. Parameters kostprijsmodel'!$D$11,"")))</f>
        <v/>
      </c>
      <c r="U38" s="146"/>
      <c r="V38" s="146"/>
      <c r="W38" s="146"/>
      <c r="X38" s="146"/>
      <c r="Y38" s="146"/>
    </row>
    <row r="39" spans="1:31" ht="14.1" customHeight="1" x14ac:dyDescent="0.2">
      <c r="A39" s="78"/>
      <c r="B39" s="137"/>
      <c r="C39" s="528"/>
      <c r="D39" s="798" t="s">
        <v>279</v>
      </c>
      <c r="E39" s="799"/>
      <c r="F39" s="799"/>
      <c r="G39" s="800"/>
      <c r="H39" s="38"/>
      <c r="I39" s="45"/>
      <c r="J39" s="49"/>
      <c r="K39" s="257"/>
      <c r="L39" s="257"/>
      <c r="M39" s="257"/>
      <c r="N39" s="257"/>
      <c r="O39" s="75"/>
      <c r="P39" s="251"/>
      <c r="Q39" s="252"/>
      <c r="R39" s="257"/>
      <c r="S39" s="75"/>
      <c r="T39" s="75" t="str">
        <f>IF(S39='3. Parameters kostprijsmodel'!$C$9,'3. Parameters kostprijsmodel'!$D$9,IF(S39='3. Parameters kostprijsmodel'!$C$10,'3. Parameters kostprijsmodel'!$D$10,IF(S39='3. Parameters kostprijsmodel'!$C$11,'3. Parameters kostprijsmodel'!$D$11,"")))</f>
        <v/>
      </c>
      <c r="U39" s="150"/>
      <c r="V39" s="150"/>
      <c r="W39" s="150"/>
      <c r="X39" s="150"/>
      <c r="Y39" s="150"/>
    </row>
    <row r="40" spans="1:31" ht="14.1" customHeight="1" x14ac:dyDescent="0.2">
      <c r="A40" s="138"/>
      <c r="B40" s="112"/>
      <c r="C40" s="265"/>
      <c r="D40" s="801"/>
      <c r="E40" s="802"/>
      <c r="F40" s="802"/>
      <c r="G40" s="803"/>
      <c r="H40" s="27"/>
      <c r="I40" s="26"/>
      <c r="J40" s="48"/>
      <c r="K40" s="66"/>
      <c r="L40" s="66"/>
      <c r="M40" s="66"/>
      <c r="N40" s="66"/>
      <c r="O40" s="69"/>
      <c r="P40" s="92"/>
      <c r="Q40" s="259"/>
      <c r="R40" s="66"/>
      <c r="S40" s="69"/>
      <c r="T40" s="69" t="str">
        <f>IF(S40='3. Parameters kostprijsmodel'!$C$9,'3. Parameters kostprijsmodel'!$D$9,IF(S40='3. Parameters kostprijsmodel'!$C$10,'3. Parameters kostprijsmodel'!$D$10,IF(S40='3. Parameters kostprijsmodel'!$C$11,'3. Parameters kostprijsmodel'!$D$11,"")))</f>
        <v/>
      </c>
      <c r="U40" s="146"/>
      <c r="V40" s="146"/>
      <c r="W40" s="146"/>
      <c r="X40" s="146"/>
      <c r="Y40" s="146"/>
    </row>
    <row r="41" spans="1:31" ht="14.1" customHeight="1" x14ac:dyDescent="0.2">
      <c r="A41" s="138"/>
      <c r="B41" s="112"/>
      <c r="C41" s="265"/>
      <c r="D41" s="801"/>
      <c r="E41" s="802"/>
      <c r="F41" s="802"/>
      <c r="G41" s="803"/>
      <c r="H41" s="27"/>
      <c r="I41" s="26"/>
      <c r="J41" s="48"/>
      <c r="K41" s="66"/>
      <c r="L41" s="66"/>
      <c r="M41" s="66"/>
      <c r="N41" s="66"/>
      <c r="O41" s="69"/>
      <c r="P41" s="92"/>
      <c r="Q41" s="259"/>
      <c r="R41" s="66"/>
      <c r="S41" s="69"/>
      <c r="T41" s="69" t="str">
        <f>IF(S41='3. Parameters kostprijsmodel'!$C$9,'3. Parameters kostprijsmodel'!$D$9,IF(S41='3. Parameters kostprijsmodel'!$C$10,'3. Parameters kostprijsmodel'!$D$10,IF(S41='3. Parameters kostprijsmodel'!$C$11,'3. Parameters kostprijsmodel'!$D$11,"")))</f>
        <v/>
      </c>
      <c r="U41" s="146"/>
      <c r="V41" s="146"/>
      <c r="W41" s="146"/>
      <c r="X41" s="146"/>
      <c r="Y41" s="146"/>
    </row>
    <row r="42" spans="1:31" ht="14.1" customHeight="1" x14ac:dyDescent="0.2">
      <c r="A42" s="138"/>
      <c r="B42" s="112"/>
      <c r="C42" s="265"/>
      <c r="D42" s="801"/>
      <c r="E42" s="802"/>
      <c r="F42" s="802"/>
      <c r="G42" s="803"/>
      <c r="H42" s="27"/>
      <c r="I42" s="26"/>
      <c r="J42" s="48"/>
      <c r="K42" s="66"/>
      <c r="L42" s="66"/>
      <c r="M42" s="66"/>
      <c r="N42" s="66"/>
      <c r="O42" s="69"/>
      <c r="P42" s="92"/>
      <c r="Q42" s="259"/>
      <c r="R42" s="66"/>
      <c r="S42" s="69"/>
      <c r="T42" s="69" t="str">
        <f>IF(S42='3. Parameters kostprijsmodel'!$C$9,'3. Parameters kostprijsmodel'!$D$9,IF(S42='3. Parameters kostprijsmodel'!$C$10,'3. Parameters kostprijsmodel'!$D$10,IF(S42='3. Parameters kostprijsmodel'!$C$11,'3. Parameters kostprijsmodel'!$D$11,"")))</f>
        <v/>
      </c>
      <c r="U42" s="146"/>
      <c r="V42" s="146"/>
      <c r="W42" s="146"/>
      <c r="X42" s="146"/>
      <c r="Y42" s="146"/>
    </row>
    <row r="43" spans="1:31" ht="14.1" customHeight="1" x14ac:dyDescent="0.2">
      <c r="A43" s="138"/>
      <c r="B43" s="112"/>
      <c r="C43" s="265"/>
      <c r="D43" s="801"/>
      <c r="E43" s="802"/>
      <c r="F43" s="802"/>
      <c r="G43" s="803"/>
      <c r="H43" s="27"/>
      <c r="I43" s="26"/>
      <c r="J43" s="48"/>
      <c r="K43" s="66"/>
      <c r="L43" s="66"/>
      <c r="M43" s="66"/>
      <c r="N43" s="66"/>
      <c r="O43" s="69"/>
      <c r="P43" s="92"/>
      <c r="Q43" s="259"/>
      <c r="R43" s="66"/>
      <c r="S43" s="69"/>
      <c r="T43" s="69" t="str">
        <f>IF(S43='3. Parameters kostprijsmodel'!$C$9,'3. Parameters kostprijsmodel'!$D$9,IF(S43='3. Parameters kostprijsmodel'!$C$10,'3. Parameters kostprijsmodel'!$D$10,IF(S43='3. Parameters kostprijsmodel'!$C$11,'3. Parameters kostprijsmodel'!$D$11,"")))</f>
        <v/>
      </c>
      <c r="U43" s="146"/>
      <c r="V43" s="146"/>
      <c r="W43" s="146"/>
      <c r="X43" s="146"/>
      <c r="Y43" s="146"/>
    </row>
    <row r="44" spans="1:31" ht="14.1" customHeight="1" x14ac:dyDescent="0.2">
      <c r="A44" s="138"/>
      <c r="B44" s="112"/>
      <c r="C44" s="265"/>
      <c r="D44" s="801"/>
      <c r="E44" s="802"/>
      <c r="F44" s="802"/>
      <c r="G44" s="803"/>
      <c r="H44" s="27"/>
      <c r="I44" s="26"/>
      <c r="J44" s="48"/>
      <c r="K44" s="66"/>
      <c r="L44" s="66"/>
      <c r="M44" s="66"/>
      <c r="N44" s="66"/>
      <c r="O44" s="69"/>
      <c r="P44" s="92"/>
      <c r="Q44" s="259"/>
      <c r="R44" s="66"/>
      <c r="S44" s="69"/>
      <c r="T44" s="69" t="str">
        <f>IF(S44='3. Parameters kostprijsmodel'!$C$9,'3. Parameters kostprijsmodel'!$D$9,IF(S44='3. Parameters kostprijsmodel'!$C$10,'3. Parameters kostprijsmodel'!$D$10,IF(S44='3. Parameters kostprijsmodel'!$C$11,'3. Parameters kostprijsmodel'!$D$11,"")))</f>
        <v/>
      </c>
      <c r="U44" s="146"/>
      <c r="V44" s="146"/>
      <c r="W44" s="146"/>
      <c r="X44" s="146"/>
      <c r="Y44" s="146"/>
    </row>
    <row r="45" spans="1:31" ht="14.1" customHeight="1" x14ac:dyDescent="0.2">
      <c r="A45" s="139"/>
      <c r="B45" s="140"/>
      <c r="C45" s="266"/>
      <c r="D45" s="804"/>
      <c r="E45" s="805"/>
      <c r="F45" s="805"/>
      <c r="G45" s="806"/>
      <c r="H45" s="27"/>
      <c r="I45" s="26"/>
      <c r="J45" s="48"/>
      <c r="K45" s="66"/>
      <c r="L45" s="66"/>
      <c r="M45" s="66"/>
      <c r="N45" s="66"/>
      <c r="O45" s="69"/>
      <c r="P45" s="92"/>
      <c r="Q45" s="259"/>
      <c r="R45" s="66"/>
      <c r="S45" s="69"/>
      <c r="T45" s="69" t="str">
        <f>IF(S45='3. Parameters kostprijsmodel'!$C$9,'3. Parameters kostprijsmodel'!$D$9,IF(S45='3. Parameters kostprijsmodel'!$C$10,'3. Parameters kostprijsmodel'!$D$10,IF(S45='3. Parameters kostprijsmodel'!$C$11,'3. Parameters kostprijsmodel'!$D$11,"")))</f>
        <v/>
      </c>
      <c r="U45" s="146"/>
      <c r="V45" s="146"/>
      <c r="W45" s="146"/>
      <c r="X45" s="146"/>
      <c r="Y45" s="146"/>
    </row>
    <row r="46" spans="1:31" ht="14.1" customHeight="1" x14ac:dyDescent="0.2">
      <c r="A46" s="78"/>
      <c r="B46" s="137"/>
      <c r="C46" s="528"/>
      <c r="D46" s="789" t="s">
        <v>280</v>
      </c>
      <c r="E46" s="790"/>
      <c r="F46" s="790"/>
      <c r="G46" s="791"/>
      <c r="H46" s="731" t="s">
        <v>281</v>
      </c>
      <c r="I46" s="732"/>
      <c r="J46" s="47" t="s">
        <v>166</v>
      </c>
      <c r="K46" s="258">
        <v>2.2800854700854702</v>
      </c>
      <c r="L46" s="258">
        <v>0.8362190375088463</v>
      </c>
      <c r="M46" s="258">
        <v>0.38366666666666671</v>
      </c>
      <c r="N46" s="258">
        <v>0.16208333333333333</v>
      </c>
      <c r="O46" s="67" t="s">
        <v>275</v>
      </c>
      <c r="P46" s="727" t="s">
        <v>282</v>
      </c>
      <c r="Q46" s="728"/>
      <c r="R46" s="71">
        <v>1</v>
      </c>
      <c r="S46" s="67" t="s">
        <v>169</v>
      </c>
      <c r="T46" s="169">
        <f>IF(S46='3. Parameters kostprijsmodel'!$C$9,'3. Parameters kostprijsmodel'!$D$9,IF(S46='3. Parameters kostprijsmodel'!$C$10,'3. Parameters kostprijsmodel'!$D$10,IF(S46='3. Parameters kostprijsmodel'!$C$11,'3. Parameters kostprijsmodel'!$D$11,"")))</f>
        <v>76.03</v>
      </c>
      <c r="U46" s="156">
        <v>0</v>
      </c>
      <c r="V46" s="147">
        <f t="shared" ref="V46:Y47" si="5">IF($H46="","",(K46*$R46*$T46+$U46))</f>
        <v>173.3548982905983</v>
      </c>
      <c r="W46" s="147">
        <f>IF($H46="","",(L46*$R46*$T46+$U46))</f>
        <v>63.577733421797582</v>
      </c>
      <c r="X46" s="147">
        <f>IF($H46="","",(M46*$R46*$T46+$U46))</f>
        <v>29.17017666666667</v>
      </c>
      <c r="Y46" s="147">
        <f>IF($H46="","",(N46*$R46*$T46+$U46))</f>
        <v>12.323195833333333</v>
      </c>
    </row>
    <row r="47" spans="1:31" ht="14.1" customHeight="1" x14ac:dyDescent="0.2">
      <c r="A47" s="138"/>
      <c r="B47" s="112"/>
      <c r="C47" s="265"/>
      <c r="D47" s="792"/>
      <c r="E47" s="793"/>
      <c r="F47" s="793"/>
      <c r="G47" s="794"/>
      <c r="H47" s="32" t="s">
        <v>283</v>
      </c>
      <c r="I47" s="43"/>
      <c r="J47" s="47" t="s">
        <v>166</v>
      </c>
      <c r="K47" s="258">
        <v>0.05</v>
      </c>
      <c r="L47" s="258">
        <v>0.03</v>
      </c>
      <c r="M47" s="258">
        <v>0.02</v>
      </c>
      <c r="N47" s="258">
        <v>0.02</v>
      </c>
      <c r="O47" s="67" t="s">
        <v>275</v>
      </c>
      <c r="P47" s="727" t="s">
        <v>282</v>
      </c>
      <c r="Q47" s="728"/>
      <c r="R47" s="68">
        <v>1</v>
      </c>
      <c r="S47" s="104" t="s">
        <v>169</v>
      </c>
      <c r="T47" s="170">
        <f>IF(S47='3. Parameters kostprijsmodel'!$C$9,'3. Parameters kostprijsmodel'!$D$9,IF(S47='3. Parameters kostprijsmodel'!$C$10,'3. Parameters kostprijsmodel'!$D$10,IF(S47='3. Parameters kostprijsmodel'!$C$11,'3. Parameters kostprijsmodel'!$D$11,"")))</f>
        <v>76.03</v>
      </c>
      <c r="U47" s="158">
        <v>0</v>
      </c>
      <c r="V47" s="149">
        <f t="shared" si="5"/>
        <v>3.8015000000000003</v>
      </c>
      <c r="W47" s="149">
        <f>IF($H47="","",(L47*$R47*$T47+$U47))</f>
        <v>2.2808999999999999</v>
      </c>
      <c r="X47" s="149">
        <f t="shared" si="5"/>
        <v>1.5206</v>
      </c>
      <c r="Y47" s="149">
        <f t="shared" si="5"/>
        <v>1.5206</v>
      </c>
    </row>
    <row r="48" spans="1:31" ht="14.1" customHeight="1" x14ac:dyDescent="0.2">
      <c r="A48" s="138"/>
      <c r="B48" s="112"/>
      <c r="C48" s="265"/>
      <c r="D48" s="792"/>
      <c r="E48" s="793"/>
      <c r="F48" s="793"/>
      <c r="G48" s="794"/>
      <c r="H48" s="28"/>
      <c r="I48" s="26"/>
      <c r="J48" s="46"/>
      <c r="K48" s="66"/>
      <c r="L48" s="66"/>
      <c r="M48" s="66"/>
      <c r="N48" s="66"/>
      <c r="O48" s="69"/>
      <c r="P48" s="92"/>
      <c r="Q48" s="259"/>
      <c r="R48" s="66"/>
      <c r="S48" s="69"/>
      <c r="T48" s="69" t="str">
        <f>IF(S48='3. Parameters kostprijsmodel'!$C$9,'3. Parameters kostprijsmodel'!$D$9,IF(S48='3. Parameters kostprijsmodel'!$C$10,'3. Parameters kostprijsmodel'!$D$10,IF(S48='3. Parameters kostprijsmodel'!$C$11,'3. Parameters kostprijsmodel'!$D$11,"")))</f>
        <v/>
      </c>
      <c r="U48" s="146"/>
      <c r="V48" s="146" t="str">
        <f>IF(H48="","",(K48*R48*T48+U48))</f>
        <v/>
      </c>
      <c r="W48" s="146" t="str">
        <f>IF(H48="","",(L48*R48*(T48+U48)))</f>
        <v/>
      </c>
      <c r="X48" s="146"/>
      <c r="Y48" s="146"/>
    </row>
    <row r="49" spans="1:25" ht="14.1" customHeight="1" x14ac:dyDescent="0.2">
      <c r="A49" s="138"/>
      <c r="B49" s="112"/>
      <c r="C49" s="265"/>
      <c r="D49" s="792"/>
      <c r="E49" s="793"/>
      <c r="F49" s="793"/>
      <c r="G49" s="794"/>
      <c r="H49" s="28"/>
      <c r="I49" s="26"/>
      <c r="J49" s="46"/>
      <c r="K49" s="72"/>
      <c r="L49" s="72"/>
      <c r="M49" s="72"/>
      <c r="N49" s="72"/>
      <c r="O49" s="73"/>
      <c r="P49" s="92"/>
      <c r="Q49" s="259"/>
      <c r="R49" s="66"/>
      <c r="S49" s="73"/>
      <c r="T49" s="73" t="str">
        <f>IF(S49='3. Parameters kostprijsmodel'!$C$9,'3. Parameters kostprijsmodel'!$D$9,IF(S49='3. Parameters kostprijsmodel'!$C$10,'3. Parameters kostprijsmodel'!$D$10,IF(S49='3. Parameters kostprijsmodel'!$C$11,'3. Parameters kostprijsmodel'!$D$11,"")))</f>
        <v/>
      </c>
      <c r="U49" s="146"/>
      <c r="V49" s="146" t="str">
        <f>IF(H49="","",(K49*R49*T49+U49))</f>
        <v/>
      </c>
      <c r="W49" s="146" t="str">
        <f>IF(H49="","",(L49*R49*(T49+U49)))</f>
        <v/>
      </c>
      <c r="X49" s="146"/>
      <c r="Y49" s="146"/>
    </row>
    <row r="50" spans="1:25" ht="14.1" customHeight="1" x14ac:dyDescent="0.2">
      <c r="A50" s="138"/>
      <c r="B50" s="112"/>
      <c r="C50" s="265"/>
      <c r="D50" s="792"/>
      <c r="E50" s="793"/>
      <c r="F50" s="793"/>
      <c r="G50" s="794"/>
      <c r="H50" s="28"/>
      <c r="I50" s="26"/>
      <c r="J50" s="46"/>
      <c r="K50" s="66"/>
      <c r="L50" s="66"/>
      <c r="M50" s="66"/>
      <c r="N50" s="66"/>
      <c r="O50" s="69"/>
      <c r="P50" s="92"/>
      <c r="Q50" s="259"/>
      <c r="R50" s="66"/>
      <c r="S50" s="69"/>
      <c r="T50" s="69" t="str">
        <f>IF(S50='3. Parameters kostprijsmodel'!$C$9,'3. Parameters kostprijsmodel'!$D$9,IF(S50='3. Parameters kostprijsmodel'!$C$10,'3. Parameters kostprijsmodel'!$D$10,IF(S50='3. Parameters kostprijsmodel'!$C$11,'3. Parameters kostprijsmodel'!$D$11,"")))</f>
        <v/>
      </c>
      <c r="U50" s="146"/>
      <c r="V50" s="146" t="str">
        <f>IF(H50="","",(K50*R50*T50+U50))</f>
        <v/>
      </c>
      <c r="W50" s="146" t="str">
        <f>IF(H50="","",(L50*R50*(T50+U50)))</f>
        <v/>
      </c>
      <c r="X50" s="146"/>
      <c r="Y50" s="146"/>
    </row>
    <row r="51" spans="1:25" ht="14.1" customHeight="1" x14ac:dyDescent="0.2">
      <c r="A51" s="139"/>
      <c r="B51" s="140"/>
      <c r="C51" s="266"/>
      <c r="D51" s="795"/>
      <c r="E51" s="796"/>
      <c r="F51" s="796"/>
      <c r="G51" s="797"/>
      <c r="H51" s="28"/>
      <c r="I51" s="26"/>
      <c r="J51" s="55"/>
      <c r="K51" s="176"/>
      <c r="L51" s="176"/>
      <c r="M51" s="176"/>
      <c r="N51" s="176"/>
      <c r="O51" s="70"/>
      <c r="P51" s="181"/>
      <c r="Q51" s="253"/>
      <c r="R51" s="176"/>
      <c r="S51" s="70"/>
      <c r="T51" s="70" t="str">
        <f>IF(S51='3. Parameters kostprijsmodel'!$C$9,'3. Parameters kostprijsmodel'!$D$9,IF(S51='3. Parameters kostprijsmodel'!$C$10,'3. Parameters kostprijsmodel'!$D$10,IF(S51='3. Parameters kostprijsmodel'!$C$11,'3. Parameters kostprijsmodel'!$D$11,"")))</f>
        <v/>
      </c>
      <c r="U51" s="151"/>
      <c r="V51" s="151" t="str">
        <f>IF(H51="","",(K51*R51*T51+U51))</f>
        <v/>
      </c>
      <c r="W51" s="151" t="str">
        <f>IF(H51="","",(L51*R51*(T51+U51)))</f>
        <v/>
      </c>
      <c r="X51" s="151"/>
      <c r="Y51" s="151"/>
    </row>
    <row r="52" spans="1:25" ht="14.1" customHeight="1" x14ac:dyDescent="0.2">
      <c r="A52" s="78"/>
      <c r="B52" s="137"/>
      <c r="C52" s="528"/>
      <c r="D52" s="789" t="s">
        <v>284</v>
      </c>
      <c r="E52" s="790"/>
      <c r="F52" s="790"/>
      <c r="G52" s="791"/>
      <c r="H52" s="731" t="s">
        <v>285</v>
      </c>
      <c r="I52" s="732"/>
      <c r="J52" s="47" t="s">
        <v>166</v>
      </c>
      <c r="K52" s="258">
        <f>K46</f>
        <v>2.2800854700854702</v>
      </c>
      <c r="L52" s="258">
        <f t="shared" ref="L52:N52" si="6">L46</f>
        <v>0.8362190375088463</v>
      </c>
      <c r="M52" s="258">
        <f t="shared" si="6"/>
        <v>0.38366666666666671</v>
      </c>
      <c r="N52" s="258">
        <f t="shared" si="6"/>
        <v>0.16208333333333333</v>
      </c>
      <c r="O52" s="67" t="s">
        <v>275</v>
      </c>
      <c r="P52" s="729" t="s">
        <v>286</v>
      </c>
      <c r="Q52" s="730"/>
      <c r="R52" s="71">
        <v>1</v>
      </c>
      <c r="S52" s="71" t="s">
        <v>169</v>
      </c>
      <c r="T52" s="169">
        <f>IF(S52='3. Parameters kostprijsmodel'!$C$9,'3. Parameters kostprijsmodel'!$D$9,IF(S52='3. Parameters kostprijsmodel'!$C$10,'3. Parameters kostprijsmodel'!$D$10,IF(S52='3. Parameters kostprijsmodel'!$C$11,'3. Parameters kostprijsmodel'!$D$11,"")))</f>
        <v>76.03</v>
      </c>
      <c r="U52" s="156">
        <v>0</v>
      </c>
      <c r="V52" s="148">
        <f t="shared" ref="V52:Y55" si="7">IF($H52="","",(K52*$R52*$T52+$U52))</f>
        <v>173.3548982905983</v>
      </c>
      <c r="W52" s="148">
        <f t="shared" si="7"/>
        <v>63.577733421797582</v>
      </c>
      <c r="X52" s="148">
        <f t="shared" si="7"/>
        <v>29.17017666666667</v>
      </c>
      <c r="Y52" s="148">
        <f t="shared" si="7"/>
        <v>12.323195833333333</v>
      </c>
    </row>
    <row r="53" spans="1:25" ht="14.1" customHeight="1" x14ac:dyDescent="0.2">
      <c r="A53" s="138"/>
      <c r="B53" s="112"/>
      <c r="C53" s="265"/>
      <c r="D53" s="792"/>
      <c r="E53" s="793"/>
      <c r="F53" s="793"/>
      <c r="G53" s="794"/>
      <c r="H53" s="32" t="s">
        <v>287</v>
      </c>
      <c r="I53" s="43"/>
      <c r="J53" s="47" t="s">
        <v>166</v>
      </c>
      <c r="K53" s="258">
        <f>K47</f>
        <v>0.05</v>
      </c>
      <c r="L53" s="258">
        <f t="shared" ref="L53:N53" si="8">L47</f>
        <v>0.03</v>
      </c>
      <c r="M53" s="258">
        <f t="shared" si="8"/>
        <v>0.02</v>
      </c>
      <c r="N53" s="258">
        <f t="shared" si="8"/>
        <v>0.02</v>
      </c>
      <c r="O53" s="104" t="s">
        <v>275</v>
      </c>
      <c r="P53" s="729" t="s">
        <v>286</v>
      </c>
      <c r="Q53" s="730"/>
      <c r="R53" s="90">
        <v>1</v>
      </c>
      <c r="S53" s="90" t="s">
        <v>169</v>
      </c>
      <c r="T53" s="170">
        <f>IF(S53='3. Parameters kostprijsmodel'!$C$9,'3. Parameters kostprijsmodel'!$D$9,IF(S53='3. Parameters kostprijsmodel'!$C$10,'3. Parameters kostprijsmodel'!$D$10,IF(S53='3. Parameters kostprijsmodel'!$C$11,'3. Parameters kostprijsmodel'!$D$11,"")))</f>
        <v>76.03</v>
      </c>
      <c r="U53" s="148">
        <v>0</v>
      </c>
      <c r="V53" s="148">
        <f t="shared" si="7"/>
        <v>3.8015000000000003</v>
      </c>
      <c r="W53" s="148">
        <f>IF($H53="","",(L53*$R53*$T53+$U53))</f>
        <v>2.2808999999999999</v>
      </c>
      <c r="X53" s="148">
        <f t="shared" si="7"/>
        <v>1.5206</v>
      </c>
      <c r="Y53" s="148">
        <f t="shared" si="7"/>
        <v>1.5206</v>
      </c>
    </row>
    <row r="54" spans="1:25" ht="14.1" customHeight="1" x14ac:dyDescent="0.2">
      <c r="A54" s="138"/>
      <c r="B54" s="112"/>
      <c r="C54" s="265"/>
      <c r="D54" s="792"/>
      <c r="E54" s="793"/>
      <c r="F54" s="793"/>
      <c r="G54" s="794"/>
      <c r="H54" s="731" t="s">
        <v>288</v>
      </c>
      <c r="I54" s="732"/>
      <c r="J54" s="47" t="s">
        <v>166</v>
      </c>
      <c r="K54" s="258">
        <f>K46*15%</f>
        <v>0.3420128205128205</v>
      </c>
      <c r="L54" s="258">
        <f t="shared" ref="L54:N54" si="9">L46*15%</f>
        <v>0.12543285562632694</v>
      </c>
      <c r="M54" s="258">
        <f t="shared" si="9"/>
        <v>5.7550000000000004E-2</v>
      </c>
      <c r="N54" s="258">
        <f t="shared" si="9"/>
        <v>2.4312499999999997E-2</v>
      </c>
      <c r="O54" s="104" t="s">
        <v>275</v>
      </c>
      <c r="P54" s="729" t="s">
        <v>286</v>
      </c>
      <c r="Q54" s="730"/>
      <c r="R54" s="47">
        <v>1</v>
      </c>
      <c r="S54" s="47" t="s">
        <v>169</v>
      </c>
      <c r="T54" s="262">
        <f>IF(S54='3. Parameters kostprijsmodel'!$C$9,'3. Parameters kostprijsmodel'!$D$9,IF(S54='3. Parameters kostprijsmodel'!$C$10,'3. Parameters kostprijsmodel'!$D$10,IF(S54='3. Parameters kostprijsmodel'!$C$11,'3. Parameters kostprijsmodel'!$D$11,"")))</f>
        <v>76.03</v>
      </c>
      <c r="U54" s="159">
        <v>0</v>
      </c>
      <c r="V54" s="148">
        <f t="shared" si="7"/>
        <v>26.003234743589744</v>
      </c>
      <c r="W54" s="148">
        <f t="shared" si="7"/>
        <v>9.5366600132696373</v>
      </c>
      <c r="X54" s="148">
        <f t="shared" si="7"/>
        <v>4.3755265000000003</v>
      </c>
      <c r="Y54" s="148">
        <f t="shared" si="7"/>
        <v>1.8484793749999999</v>
      </c>
    </row>
    <row r="55" spans="1:25" ht="14.1" customHeight="1" x14ac:dyDescent="0.2">
      <c r="A55" s="138"/>
      <c r="B55" s="112"/>
      <c r="C55" s="265"/>
      <c r="D55" s="792"/>
      <c r="E55" s="793"/>
      <c r="F55" s="793"/>
      <c r="G55" s="794"/>
      <c r="H55" s="32" t="s">
        <v>289</v>
      </c>
      <c r="I55" s="43"/>
      <c r="J55" s="47" t="s">
        <v>166</v>
      </c>
      <c r="K55" s="258">
        <f>K47*15%</f>
        <v>7.4999999999999997E-3</v>
      </c>
      <c r="L55" s="258">
        <f t="shared" ref="L55:N55" si="10">L47*15%</f>
        <v>4.4999999999999997E-3</v>
      </c>
      <c r="M55" s="258">
        <f>M47*15%</f>
        <v>3.0000000000000001E-3</v>
      </c>
      <c r="N55" s="258">
        <f t="shared" si="10"/>
        <v>3.0000000000000001E-3</v>
      </c>
      <c r="O55" s="106" t="s">
        <v>275</v>
      </c>
      <c r="P55" s="729" t="s">
        <v>286</v>
      </c>
      <c r="Q55" s="730"/>
      <c r="R55" s="105">
        <v>1</v>
      </c>
      <c r="S55" s="105" t="s">
        <v>169</v>
      </c>
      <c r="T55" s="263">
        <f>IF(S55='3. Parameters kostprijsmodel'!$C$9,'3. Parameters kostprijsmodel'!$D$9,IF(S55='3. Parameters kostprijsmodel'!$C$10,'3. Parameters kostprijsmodel'!$D$10,IF(S55='3. Parameters kostprijsmodel'!$C$11,'3. Parameters kostprijsmodel'!$D$11,"")))</f>
        <v>76.03</v>
      </c>
      <c r="U55" s="160">
        <v>0</v>
      </c>
      <c r="V55" s="149">
        <f t="shared" si="7"/>
        <v>0.57022499999999998</v>
      </c>
      <c r="W55" s="149">
        <f t="shared" si="7"/>
        <v>0.34213499999999997</v>
      </c>
      <c r="X55" s="149">
        <f t="shared" si="7"/>
        <v>0.22809000000000001</v>
      </c>
      <c r="Y55" s="149">
        <f t="shared" si="7"/>
        <v>0.22809000000000001</v>
      </c>
    </row>
    <row r="56" spans="1:25" ht="14.1" customHeight="1" x14ac:dyDescent="0.2">
      <c r="A56" s="138"/>
      <c r="B56" s="112"/>
      <c r="C56" s="265"/>
      <c r="D56" s="792"/>
      <c r="E56" s="793"/>
      <c r="F56" s="793"/>
      <c r="G56" s="794"/>
      <c r="H56" s="27"/>
      <c r="I56" s="26"/>
      <c r="J56" s="48"/>
      <c r="K56" s="66"/>
      <c r="L56" s="66"/>
      <c r="M56" s="66"/>
      <c r="N56" s="66"/>
      <c r="O56" s="69"/>
      <c r="P56" s="811"/>
      <c r="Q56" s="812"/>
      <c r="R56" s="66"/>
      <c r="S56" s="69"/>
      <c r="T56" s="69" t="str">
        <f>IF(S56='3. Parameters kostprijsmodel'!$C$9,'3. Parameters kostprijsmodel'!$D$9,IF(S56='3. Parameters kostprijsmodel'!$C$10,'3. Parameters kostprijsmodel'!$D$10,IF(S56='3. Parameters kostprijsmodel'!$C$11,'3. Parameters kostprijsmodel'!$D$11,"")))</f>
        <v/>
      </c>
      <c r="U56" s="146"/>
      <c r="V56" s="146" t="str">
        <f>IF(H56="","",(K56*R56*T56+U56))</f>
        <v/>
      </c>
      <c r="W56" s="146" t="str">
        <f>IF(H56="","",(L56*R56*(T56+U56)))</f>
        <v/>
      </c>
      <c r="X56" s="146"/>
      <c r="Y56" s="146"/>
    </row>
    <row r="57" spans="1:25" ht="14.1" customHeight="1" x14ac:dyDescent="0.2">
      <c r="A57" s="138"/>
      <c r="B57" s="112"/>
      <c r="C57" s="265"/>
      <c r="D57" s="792"/>
      <c r="E57" s="793"/>
      <c r="F57" s="793"/>
      <c r="G57" s="794"/>
      <c r="H57" s="27"/>
      <c r="I57" s="26"/>
      <c r="J57" s="48"/>
      <c r="K57" s="66"/>
      <c r="L57" s="66"/>
      <c r="M57" s="66"/>
      <c r="N57" s="66"/>
      <c r="O57" s="69"/>
      <c r="P57" s="811"/>
      <c r="Q57" s="812"/>
      <c r="R57" s="66"/>
      <c r="S57" s="69"/>
      <c r="T57" s="69" t="str">
        <f>IF(S57='3. Parameters kostprijsmodel'!$C$9,'3. Parameters kostprijsmodel'!$D$9,IF(S57='3. Parameters kostprijsmodel'!$C$10,'3. Parameters kostprijsmodel'!$D$10,IF(S57='3. Parameters kostprijsmodel'!$C$11,'3. Parameters kostprijsmodel'!$D$11,"")))</f>
        <v/>
      </c>
      <c r="U57" s="146"/>
      <c r="V57" s="146" t="str">
        <f>IF(H57="","",(K57*R57*T57+U57))</f>
        <v/>
      </c>
      <c r="W57" s="146" t="str">
        <f>IF(H57="","",(L57*R57*(T57+U57)))</f>
        <v/>
      </c>
      <c r="X57" s="146"/>
      <c r="Y57" s="146"/>
    </row>
    <row r="58" spans="1:25" ht="14.1" customHeight="1" x14ac:dyDescent="0.2">
      <c r="A58" s="138"/>
      <c r="B58" s="112"/>
      <c r="C58" s="265"/>
      <c r="D58" s="792"/>
      <c r="E58" s="793"/>
      <c r="F58" s="793"/>
      <c r="G58" s="794"/>
      <c r="H58" s="27"/>
      <c r="I58" s="26"/>
      <c r="J58" s="259"/>
      <c r="K58" s="66"/>
      <c r="L58" s="66"/>
      <c r="M58" s="66"/>
      <c r="N58" s="66"/>
      <c r="O58" s="69"/>
      <c r="P58" s="811"/>
      <c r="Q58" s="812"/>
      <c r="R58" s="66"/>
      <c r="S58" s="69"/>
      <c r="T58" s="69" t="str">
        <f>IF(S58='3. Parameters kostprijsmodel'!$C$9,'3. Parameters kostprijsmodel'!$D$9,IF(S58='3. Parameters kostprijsmodel'!$C$10,'3. Parameters kostprijsmodel'!$D$10,IF(S58='3. Parameters kostprijsmodel'!$C$11,'3. Parameters kostprijsmodel'!$D$11,"")))</f>
        <v/>
      </c>
      <c r="U58" s="146"/>
      <c r="V58" s="146"/>
      <c r="W58" s="146"/>
      <c r="X58" s="146"/>
      <c r="Y58" s="146"/>
    </row>
    <row r="59" spans="1:25" ht="14.1" customHeight="1" x14ac:dyDescent="0.2">
      <c r="A59" s="138"/>
      <c r="B59" s="112"/>
      <c r="C59" s="265"/>
      <c r="D59" s="792"/>
      <c r="E59" s="793"/>
      <c r="F59" s="793"/>
      <c r="G59" s="794"/>
      <c r="H59" s="27"/>
      <c r="I59" s="26"/>
      <c r="J59" s="259"/>
      <c r="K59" s="66"/>
      <c r="L59" s="66"/>
      <c r="M59" s="66"/>
      <c r="N59" s="66"/>
      <c r="O59" s="69"/>
      <c r="P59" s="92"/>
      <c r="Q59" s="259"/>
      <c r="R59" s="259"/>
      <c r="S59" s="69"/>
      <c r="T59" s="69"/>
      <c r="U59" s="146"/>
      <c r="V59" s="146"/>
      <c r="W59" s="146"/>
      <c r="X59" s="146"/>
      <c r="Y59" s="146"/>
    </row>
    <row r="60" spans="1:25" ht="14.1" customHeight="1" x14ac:dyDescent="0.2">
      <c r="A60" s="139"/>
      <c r="B60" s="140"/>
      <c r="C60" s="266"/>
      <c r="D60" s="795"/>
      <c r="E60" s="796"/>
      <c r="F60" s="796"/>
      <c r="G60" s="797"/>
      <c r="H60" s="27"/>
      <c r="I60" s="26"/>
      <c r="J60" s="253"/>
      <c r="K60" s="66"/>
      <c r="L60" s="66"/>
      <c r="M60" s="66"/>
      <c r="N60" s="66"/>
      <c r="O60" s="69"/>
      <c r="P60" s="181"/>
      <c r="Q60" s="253"/>
      <c r="R60" s="259"/>
      <c r="S60" s="69"/>
      <c r="T60" s="69"/>
      <c r="U60" s="146"/>
      <c r="V60" s="151"/>
      <c r="W60" s="151"/>
      <c r="X60" s="151"/>
      <c r="Y60" s="151"/>
    </row>
    <row r="61" spans="1:25" ht="14.1" customHeight="1" x14ac:dyDescent="0.2">
      <c r="A61" s="138"/>
      <c r="B61" s="112"/>
      <c r="C61" s="265"/>
      <c r="D61" s="789" t="s">
        <v>290</v>
      </c>
      <c r="E61" s="790"/>
      <c r="F61" s="790"/>
      <c r="G61" s="791"/>
      <c r="H61" s="134" t="s">
        <v>291</v>
      </c>
      <c r="I61" s="132"/>
      <c r="J61" s="130" t="s">
        <v>166</v>
      </c>
      <c r="K61" s="131"/>
      <c r="L61" s="131"/>
      <c r="M61" s="131"/>
      <c r="N61" s="131"/>
      <c r="O61" s="133"/>
      <c r="P61" s="818" t="s">
        <v>292</v>
      </c>
      <c r="Q61" s="819"/>
      <c r="R61" s="132"/>
      <c r="S61" s="133"/>
      <c r="T61" s="133"/>
      <c r="U61" s="161"/>
      <c r="V61" s="152"/>
      <c r="W61" s="152"/>
      <c r="X61" s="152"/>
      <c r="Y61" s="152"/>
    </row>
    <row r="62" spans="1:25" ht="14.1" customHeight="1" x14ac:dyDescent="0.2">
      <c r="A62" s="138"/>
      <c r="B62" s="112"/>
      <c r="C62" s="265"/>
      <c r="D62" s="792"/>
      <c r="E62" s="793"/>
      <c r="F62" s="793"/>
      <c r="G62" s="794"/>
      <c r="H62" s="27"/>
      <c r="I62" s="26"/>
      <c r="J62" s="48"/>
      <c r="K62" s="66"/>
      <c r="L62" s="66"/>
      <c r="M62" s="66"/>
      <c r="N62" s="66"/>
      <c r="O62" s="69"/>
      <c r="P62" s="92"/>
      <c r="Q62" s="259"/>
      <c r="R62" s="66"/>
      <c r="S62" s="69"/>
      <c r="T62" s="69" t="str">
        <f>IF(S62='3. Parameters kostprijsmodel'!$C$9,'3. Parameters kostprijsmodel'!$D$9,IF(S62='3. Parameters kostprijsmodel'!$C$10,'3. Parameters kostprijsmodel'!$D$10,IF(S62='3. Parameters kostprijsmodel'!$C$11,'3. Parameters kostprijsmodel'!$D$11,"")))</f>
        <v/>
      </c>
      <c r="U62" s="146"/>
      <c r="V62" s="146"/>
      <c r="W62" s="146"/>
      <c r="X62" s="146"/>
      <c r="Y62" s="146"/>
    </row>
    <row r="63" spans="1:25" ht="14.1" customHeight="1" x14ac:dyDescent="0.2">
      <c r="A63" s="138"/>
      <c r="B63" s="112"/>
      <c r="C63" s="265"/>
      <c r="D63" s="792"/>
      <c r="E63" s="793"/>
      <c r="F63" s="793"/>
      <c r="G63" s="794"/>
      <c r="H63" s="27"/>
      <c r="I63" s="26"/>
      <c r="J63" s="48"/>
      <c r="K63" s="66"/>
      <c r="L63" s="66"/>
      <c r="M63" s="66"/>
      <c r="N63" s="66"/>
      <c r="O63" s="69"/>
      <c r="P63" s="92"/>
      <c r="Q63" s="259"/>
      <c r="R63" s="66"/>
      <c r="S63" s="69"/>
      <c r="T63" s="69" t="str">
        <f>IF(S63='3. Parameters kostprijsmodel'!$C$9,'3. Parameters kostprijsmodel'!$D$9,IF(S63='3. Parameters kostprijsmodel'!$C$10,'3. Parameters kostprijsmodel'!$D$10,IF(S63='3. Parameters kostprijsmodel'!$C$11,'3. Parameters kostprijsmodel'!$D$11,"")))</f>
        <v/>
      </c>
      <c r="U63" s="146"/>
      <c r="V63" s="146"/>
      <c r="W63" s="146"/>
      <c r="X63" s="146"/>
      <c r="Y63" s="146"/>
    </row>
    <row r="64" spans="1:25" ht="14.1" customHeight="1" x14ac:dyDescent="0.2">
      <c r="A64" s="138"/>
      <c r="B64" s="112"/>
      <c r="C64" s="265"/>
      <c r="D64" s="792"/>
      <c r="E64" s="793"/>
      <c r="F64" s="793"/>
      <c r="G64" s="794"/>
      <c r="H64" s="27"/>
      <c r="I64" s="26"/>
      <c r="J64" s="48"/>
      <c r="K64" s="66"/>
      <c r="L64" s="66"/>
      <c r="M64" s="66"/>
      <c r="N64" s="66"/>
      <c r="O64" s="69"/>
      <c r="P64" s="92"/>
      <c r="Q64" s="259"/>
      <c r="R64" s="66"/>
      <c r="S64" s="69"/>
      <c r="T64" s="69" t="str">
        <f>IF(S64='3. Parameters kostprijsmodel'!$C$9,'3. Parameters kostprijsmodel'!$D$9,IF(S64='3. Parameters kostprijsmodel'!$C$10,'3. Parameters kostprijsmodel'!$D$10,IF(S64='3. Parameters kostprijsmodel'!$C$11,'3. Parameters kostprijsmodel'!$D$11,"")))</f>
        <v/>
      </c>
      <c r="U64" s="146"/>
      <c r="V64" s="146"/>
      <c r="W64" s="146"/>
      <c r="X64" s="146"/>
      <c r="Y64" s="146"/>
    </row>
    <row r="65" spans="1:25" ht="14.1" customHeight="1" x14ac:dyDescent="0.2">
      <c r="A65" s="138"/>
      <c r="B65" s="112"/>
      <c r="C65" s="265"/>
      <c r="D65" s="792"/>
      <c r="E65" s="793"/>
      <c r="F65" s="793"/>
      <c r="G65" s="794"/>
      <c r="H65" s="27"/>
      <c r="I65" s="26"/>
      <c r="J65" s="48"/>
      <c r="K65" s="66"/>
      <c r="L65" s="66"/>
      <c r="M65" s="66"/>
      <c r="N65" s="66"/>
      <c r="O65" s="69"/>
      <c r="P65" s="92"/>
      <c r="Q65" s="259"/>
      <c r="R65" s="66"/>
      <c r="S65" s="69"/>
      <c r="T65" s="69" t="str">
        <f>IF(S65='3. Parameters kostprijsmodel'!$C$9,'3. Parameters kostprijsmodel'!$D$9,IF(S65='3. Parameters kostprijsmodel'!$C$10,'3. Parameters kostprijsmodel'!$D$10,IF(S65='3. Parameters kostprijsmodel'!$C$11,'3. Parameters kostprijsmodel'!$D$11,"")))</f>
        <v/>
      </c>
      <c r="U65" s="146"/>
      <c r="V65" s="146"/>
      <c r="W65" s="146"/>
      <c r="X65" s="146"/>
      <c r="Y65" s="146"/>
    </row>
    <row r="66" spans="1:25" ht="14.1" customHeight="1" x14ac:dyDescent="0.2">
      <c r="A66" s="138"/>
      <c r="B66" s="112"/>
      <c r="C66" s="265"/>
      <c r="D66" s="795"/>
      <c r="E66" s="796"/>
      <c r="F66" s="796"/>
      <c r="G66" s="797"/>
      <c r="H66" s="27"/>
      <c r="I66" s="26"/>
      <c r="J66" s="48"/>
      <c r="K66" s="66"/>
      <c r="L66" s="66"/>
      <c r="M66" s="66"/>
      <c r="N66" s="66"/>
      <c r="O66" s="69"/>
      <c r="P66" s="92"/>
      <c r="Q66" s="259"/>
      <c r="R66" s="66"/>
      <c r="S66" s="69"/>
      <c r="T66" s="69" t="str">
        <f>IF(S66='3. Parameters kostprijsmodel'!$C$9,'3. Parameters kostprijsmodel'!$D$9,IF(S66='3. Parameters kostprijsmodel'!$C$10,'3. Parameters kostprijsmodel'!$D$10,IF(S66='3. Parameters kostprijsmodel'!$C$11,'3. Parameters kostprijsmodel'!$D$11,"")))</f>
        <v/>
      </c>
      <c r="U66" s="146"/>
      <c r="V66" s="146"/>
      <c r="W66" s="146"/>
      <c r="X66" s="146"/>
      <c r="Y66" s="146"/>
    </row>
    <row r="67" spans="1:25" ht="14.1" customHeight="1" x14ac:dyDescent="0.2">
      <c r="A67" s="78"/>
      <c r="B67" s="137"/>
      <c r="C67" s="528"/>
      <c r="D67" s="789" t="s">
        <v>293</v>
      </c>
      <c r="E67" s="790"/>
      <c r="F67" s="790"/>
      <c r="G67" s="791"/>
      <c r="H67" s="34" t="s">
        <v>294</v>
      </c>
      <c r="I67" s="57"/>
      <c r="J67" s="47" t="s">
        <v>166</v>
      </c>
      <c r="K67" s="258">
        <f>31.875/'3. Parameters kostprijsmodel'!C29</f>
        <v>0.1275</v>
      </c>
      <c r="L67" s="258">
        <f>29.167/'3. Parameters kostprijsmodel'!C29</f>
        <v>0.11666800000000001</v>
      </c>
      <c r="M67" s="258">
        <f>23.133/'3. Parameters kostprijsmodel'!C29</f>
        <v>9.2532000000000003E-2</v>
      </c>
      <c r="N67" s="258">
        <f>22.2444/'3. Parameters kostprijsmodel'!C29</f>
        <v>8.897759999999999E-2</v>
      </c>
      <c r="O67" s="67" t="s">
        <v>275</v>
      </c>
      <c r="P67" s="727" t="s">
        <v>276</v>
      </c>
      <c r="Q67" s="728"/>
      <c r="R67" s="71">
        <v>1</v>
      </c>
      <c r="S67" s="67" t="s">
        <v>167</v>
      </c>
      <c r="T67" s="169">
        <f>IF(S67='3. Parameters kostprijsmodel'!$C$9,'3. Parameters kostprijsmodel'!$D$9,IF(S67='3. Parameters kostprijsmodel'!$C$10,'3. Parameters kostprijsmodel'!$D$10,IF(S67='3. Parameters kostprijsmodel'!$C$11,'3. Parameters kostprijsmodel'!$D$11,"")))</f>
        <v>91.68</v>
      </c>
      <c r="U67" s="156">
        <v>0</v>
      </c>
      <c r="V67" s="148">
        <f t="shared" ref="V67:Y68" si="11">IF($H67="","",(K67*$R67*$T67+$U67))</f>
        <v>11.689200000000001</v>
      </c>
      <c r="W67" s="148">
        <f t="shared" si="11"/>
        <v>10.696122240000001</v>
      </c>
      <c r="X67" s="148">
        <f t="shared" si="11"/>
        <v>8.4833337600000007</v>
      </c>
      <c r="Y67" s="148">
        <f t="shared" si="11"/>
        <v>8.1574663679999997</v>
      </c>
    </row>
    <row r="68" spans="1:25" ht="14.1" customHeight="1" x14ac:dyDescent="0.2">
      <c r="A68" s="138"/>
      <c r="B68" s="112"/>
      <c r="C68" s="265"/>
      <c r="D68" s="792"/>
      <c r="E68" s="793"/>
      <c r="F68" s="793"/>
      <c r="G68" s="794"/>
      <c r="H68" s="733" t="s">
        <v>295</v>
      </c>
      <c r="I68" s="734"/>
      <c r="J68" s="47" t="s">
        <v>166</v>
      </c>
      <c r="K68" s="258">
        <f>40/'3. Parameters kostprijsmodel'!C29</f>
        <v>0.16</v>
      </c>
      <c r="L68" s="258">
        <f>39.9/'3. Parameters kostprijsmodel'!C29</f>
        <v>0.15959999999999999</v>
      </c>
      <c r="M68" s="258">
        <f>30.4/'3. Parameters kostprijsmodel'!C29</f>
        <v>0.1216</v>
      </c>
      <c r="N68" s="258">
        <f>29.333/'3. Parameters kostprijsmodel'!C29</f>
        <v>0.11733199999999999</v>
      </c>
      <c r="O68" s="67" t="s">
        <v>275</v>
      </c>
      <c r="P68" s="727" t="s">
        <v>276</v>
      </c>
      <c r="Q68" s="728"/>
      <c r="R68" s="74">
        <v>1</v>
      </c>
      <c r="S68" s="104" t="s">
        <v>167</v>
      </c>
      <c r="T68" s="170">
        <f>IF(S68='3. Parameters kostprijsmodel'!$C$9,'3. Parameters kostprijsmodel'!$D$9,IF(S68='3. Parameters kostprijsmodel'!$C$10,'3. Parameters kostprijsmodel'!$D$10,IF(S68='3. Parameters kostprijsmodel'!$C$11,'3. Parameters kostprijsmodel'!$D$11,"")))</f>
        <v>91.68</v>
      </c>
      <c r="U68" s="149">
        <v>0</v>
      </c>
      <c r="V68" s="149">
        <f t="shared" si="11"/>
        <v>14.668800000000001</v>
      </c>
      <c r="W68" s="149">
        <f t="shared" si="11"/>
        <v>14.632128</v>
      </c>
      <c r="X68" s="149">
        <f t="shared" si="11"/>
        <v>11.148288000000001</v>
      </c>
      <c r="Y68" s="149">
        <f t="shared" si="11"/>
        <v>10.756997760000001</v>
      </c>
    </row>
    <row r="69" spans="1:25" ht="14.1" customHeight="1" x14ac:dyDescent="0.2">
      <c r="A69" s="138"/>
      <c r="B69" s="112"/>
      <c r="C69" s="265"/>
      <c r="D69" s="792"/>
      <c r="E69" s="793"/>
      <c r="F69" s="793"/>
      <c r="G69" s="794"/>
      <c r="H69" s="33"/>
      <c r="I69" s="44"/>
      <c r="J69" s="50"/>
      <c r="K69" s="257"/>
      <c r="L69" s="257"/>
      <c r="M69" s="257"/>
      <c r="N69" s="257"/>
      <c r="O69" s="75"/>
      <c r="P69" s="251"/>
      <c r="Q69" s="252"/>
      <c r="R69" s="257"/>
      <c r="S69" s="75"/>
      <c r="T69" s="75" t="str">
        <f>IF(S69='3. Parameters kostprijsmodel'!$C$9,'3. Parameters kostprijsmodel'!$D$9,IF(S69='3. Parameters kostprijsmodel'!$C$10,'3. Parameters kostprijsmodel'!$D$10,IF(S69='3. Parameters kostprijsmodel'!$C$11,'3. Parameters kostprijsmodel'!$D$11,"")))</f>
        <v/>
      </c>
      <c r="U69" s="150"/>
      <c r="V69" s="150" t="str">
        <f>IF(H69="","",(K69*R69*T69+U69))</f>
        <v/>
      </c>
      <c r="W69" s="150" t="str">
        <f>IF(H69="","",(L69*R69*(T69+U69)))</f>
        <v/>
      </c>
      <c r="X69" s="150"/>
      <c r="Y69" s="150"/>
    </row>
    <row r="70" spans="1:25" ht="14.1" customHeight="1" x14ac:dyDescent="0.2">
      <c r="A70" s="138"/>
      <c r="B70" s="112"/>
      <c r="C70" s="265"/>
      <c r="D70" s="792"/>
      <c r="E70" s="793"/>
      <c r="F70" s="793"/>
      <c r="G70" s="794"/>
      <c r="H70" s="27"/>
      <c r="I70" s="26"/>
      <c r="J70" s="46"/>
      <c r="K70" s="66"/>
      <c r="L70" s="66" t="s">
        <v>296</v>
      </c>
      <c r="M70" s="66" t="s">
        <v>296</v>
      </c>
      <c r="N70" s="66" t="s">
        <v>296</v>
      </c>
      <c r="O70" s="69"/>
      <c r="P70" s="92"/>
      <c r="Q70" s="259"/>
      <c r="R70" s="72"/>
      <c r="S70" s="69"/>
      <c r="T70" s="69" t="str">
        <f>IF(S70='3. Parameters kostprijsmodel'!$C$9,'3. Parameters kostprijsmodel'!$D$9,IF(S70='3. Parameters kostprijsmodel'!$C$10,'3. Parameters kostprijsmodel'!$D$10,IF(S70='3. Parameters kostprijsmodel'!$C$11,'3. Parameters kostprijsmodel'!$D$11,"")))</f>
        <v/>
      </c>
      <c r="U70" s="153"/>
      <c r="V70" s="153" t="str">
        <f>IF(H70="","",(K70*R70*T70+U70))</f>
        <v/>
      </c>
      <c r="W70" s="153" t="str">
        <f>IF(H70="","",(L70*R70*(T70+U70)))</f>
        <v/>
      </c>
      <c r="X70" s="153"/>
      <c r="Y70" s="153"/>
    </row>
    <row r="71" spans="1:25" ht="14.1" customHeight="1" x14ac:dyDescent="0.2">
      <c r="A71" s="138"/>
      <c r="B71" s="112"/>
      <c r="C71" s="265"/>
      <c r="D71" s="792"/>
      <c r="E71" s="793"/>
      <c r="F71" s="793"/>
      <c r="G71" s="794"/>
      <c r="H71" s="27"/>
      <c r="I71" s="26"/>
      <c r="J71" s="46"/>
      <c r="K71" s="66"/>
      <c r="L71" s="66" t="s">
        <v>296</v>
      </c>
      <c r="M71" s="66" t="s">
        <v>296</v>
      </c>
      <c r="N71" s="66" t="s">
        <v>296</v>
      </c>
      <c r="O71" s="69"/>
      <c r="P71" s="92"/>
      <c r="Q71" s="259"/>
      <c r="R71" s="72"/>
      <c r="S71" s="69"/>
      <c r="T71" s="69" t="str">
        <f>IF(S71='3. Parameters kostprijsmodel'!$C$9,'3. Parameters kostprijsmodel'!$D$9,IF(S71='3. Parameters kostprijsmodel'!$C$10,'3. Parameters kostprijsmodel'!$D$10,IF(S71='3. Parameters kostprijsmodel'!$C$11,'3. Parameters kostprijsmodel'!$D$11,"")))</f>
        <v/>
      </c>
      <c r="U71" s="153"/>
      <c r="V71" s="153" t="str">
        <f>IF(H71="","",(K71*R71*T71+U71))</f>
        <v/>
      </c>
      <c r="W71" s="153" t="str">
        <f>IF(H71="","",(L71*R71*(T71+U71)))</f>
        <v/>
      </c>
      <c r="X71" s="153"/>
      <c r="Y71" s="153"/>
    </row>
    <row r="72" spans="1:25" ht="14.1" customHeight="1" x14ac:dyDescent="0.2">
      <c r="A72" s="139"/>
      <c r="B72" s="140"/>
      <c r="C72" s="266"/>
      <c r="D72" s="795"/>
      <c r="E72" s="796"/>
      <c r="F72" s="796"/>
      <c r="G72" s="797"/>
      <c r="H72" s="29"/>
      <c r="I72" s="31"/>
      <c r="J72" s="55"/>
      <c r="K72" s="76"/>
      <c r="L72" s="76" t="s">
        <v>296</v>
      </c>
      <c r="M72" s="76" t="s">
        <v>296</v>
      </c>
      <c r="N72" s="76" t="s">
        <v>296</v>
      </c>
      <c r="O72" s="77"/>
      <c r="P72" s="181"/>
      <c r="Q72" s="253"/>
      <c r="R72" s="76"/>
      <c r="S72" s="77"/>
      <c r="T72" s="77" t="str">
        <f>IF(S72='3. Parameters kostprijsmodel'!$C$9,'3. Parameters kostprijsmodel'!$D$9,IF(S72='3. Parameters kostprijsmodel'!$C$10,'3. Parameters kostprijsmodel'!$D$10,IF(S72='3. Parameters kostprijsmodel'!$C$11,'3. Parameters kostprijsmodel'!$D$11,"")))</f>
        <v/>
      </c>
      <c r="U72" s="145"/>
      <c r="V72" s="145" t="str">
        <f>IF(H72="","",(K72*R72*T72+U72))</f>
        <v/>
      </c>
      <c r="W72" s="145" t="str">
        <f>IF(H72="","",(L72*R72*(T72+U72)))</f>
        <v/>
      </c>
      <c r="X72" s="145"/>
      <c r="Y72" s="145"/>
    </row>
    <row r="73" spans="1:25" ht="14.1" customHeight="1" x14ac:dyDescent="0.2">
      <c r="A73" s="78"/>
      <c r="B73" s="137"/>
      <c r="C73" s="528"/>
      <c r="D73" s="789" t="s">
        <v>297</v>
      </c>
      <c r="E73" s="790"/>
      <c r="F73" s="790"/>
      <c r="G73" s="791"/>
      <c r="H73" s="731" t="s">
        <v>298</v>
      </c>
      <c r="I73" s="732"/>
      <c r="J73" s="37" t="s">
        <v>171</v>
      </c>
      <c r="K73" s="293">
        <f>7.9375/'3. Parameters kostprijsmodel'!C29</f>
        <v>3.175E-2</v>
      </c>
      <c r="L73" s="293">
        <f>7.625/'3. Parameters kostprijsmodel'!C29</f>
        <v>3.0499999999999999E-2</v>
      </c>
      <c r="M73" s="293">
        <f>7.625/'3. Parameters kostprijsmodel'!C29</f>
        <v>3.0499999999999999E-2</v>
      </c>
      <c r="N73" s="293">
        <f>7.625/'3. Parameters kostprijsmodel'!C29</f>
        <v>3.0499999999999999E-2</v>
      </c>
      <c r="O73" s="67" t="s">
        <v>275</v>
      </c>
      <c r="P73" s="729" t="s">
        <v>299</v>
      </c>
      <c r="Q73" s="730"/>
      <c r="R73" s="71">
        <v>1</v>
      </c>
      <c r="S73" s="79" t="s">
        <v>172</v>
      </c>
      <c r="T73" s="67">
        <f>IF(S73='3. Parameters kostprijsmodel'!$C$9,'3. Parameters kostprijsmodel'!$D$9,IF(S73='3. Parameters kostprijsmodel'!$C$10,'3. Parameters kostprijsmodel'!$D$10,IF(S73='3. Parameters kostprijsmodel'!$C$11,'3. Parameters kostprijsmodel'!$D$11,"")))</f>
        <v>66.255819148936169</v>
      </c>
      <c r="U73" s="156">
        <v>0</v>
      </c>
      <c r="V73" s="148">
        <f t="shared" ref="V73:Y74" si="12">IF($H73="","",(K73*$R73*$T73+$U73))</f>
        <v>2.1036222579787234</v>
      </c>
      <c r="W73" s="148">
        <f t="shared" si="12"/>
        <v>2.0208024840425529</v>
      </c>
      <c r="X73" s="148">
        <f t="shared" si="12"/>
        <v>2.0208024840425529</v>
      </c>
      <c r="Y73" s="148">
        <f t="shared" si="12"/>
        <v>2.0208024840425529</v>
      </c>
    </row>
    <row r="74" spans="1:25" ht="14.1" customHeight="1" x14ac:dyDescent="0.2">
      <c r="A74" s="138"/>
      <c r="B74" s="112"/>
      <c r="C74" s="265"/>
      <c r="D74" s="792"/>
      <c r="E74" s="793"/>
      <c r="F74" s="793"/>
      <c r="G74" s="794"/>
      <c r="H74" s="22" t="s">
        <v>300</v>
      </c>
      <c r="I74" s="36"/>
      <c r="J74" s="37" t="s">
        <v>171</v>
      </c>
      <c r="K74" s="544">
        <f>22.326/'3. Parameters kostprijsmodel'!C29</f>
        <v>8.9304000000000008E-2</v>
      </c>
      <c r="L74" s="544">
        <f>19.313/'3. Parameters kostprijsmodel'!C29</f>
        <v>7.7252000000000001E-2</v>
      </c>
      <c r="M74" s="544">
        <f>19.105/'3. Parameters kostprijsmodel'!$C$29</f>
        <v>7.6420000000000002E-2</v>
      </c>
      <c r="N74" s="544">
        <f>19.105/'3. Parameters kostprijsmodel'!$C$29</f>
        <v>7.6420000000000002E-2</v>
      </c>
      <c r="O74" s="67" t="s">
        <v>275</v>
      </c>
      <c r="P74" s="820" t="s">
        <v>299</v>
      </c>
      <c r="Q74" s="821"/>
      <c r="R74" s="65">
        <v>1</v>
      </c>
      <c r="S74" s="79" t="s">
        <v>172</v>
      </c>
      <c r="T74" s="104">
        <f>IF(S74='3. Parameters kostprijsmodel'!$C$9,'3. Parameters kostprijsmodel'!$D$9,IF(S74='3. Parameters kostprijsmodel'!$C$10,'3. Parameters kostprijsmodel'!$D$10,IF(S74='3. Parameters kostprijsmodel'!$C$11,'3. Parameters kostprijsmodel'!$D$11,"")))</f>
        <v>66.255819148936169</v>
      </c>
      <c r="U74" s="157">
        <v>0</v>
      </c>
      <c r="V74" s="149">
        <f t="shared" si="12"/>
        <v>5.9169096732765958</v>
      </c>
      <c r="W74" s="149">
        <f t="shared" si="12"/>
        <v>5.1183945408936173</v>
      </c>
      <c r="X74" s="149">
        <f t="shared" si="12"/>
        <v>5.0632696993617019</v>
      </c>
      <c r="Y74" s="149">
        <f t="shared" si="12"/>
        <v>5.0632696993617019</v>
      </c>
    </row>
    <row r="75" spans="1:25" ht="14.1" customHeight="1" x14ac:dyDescent="0.2">
      <c r="A75" s="138"/>
      <c r="B75" s="112"/>
      <c r="C75" s="265"/>
      <c r="D75" s="792"/>
      <c r="E75" s="793"/>
      <c r="F75" s="793"/>
      <c r="G75" s="794"/>
      <c r="H75" s="38"/>
      <c r="I75" s="45"/>
      <c r="J75" s="50"/>
      <c r="K75" s="257"/>
      <c r="L75" s="257" t="s">
        <v>296</v>
      </c>
      <c r="M75" s="257" t="s">
        <v>296</v>
      </c>
      <c r="N75" s="257" t="s">
        <v>296</v>
      </c>
      <c r="O75" s="75"/>
      <c r="P75" s="251"/>
      <c r="Q75" s="252"/>
      <c r="R75" s="257"/>
      <c r="S75" s="75"/>
      <c r="T75" s="75" t="str">
        <f>IF(S75='3. Parameters kostprijsmodel'!$C$9,'3. Parameters kostprijsmodel'!$D$9,IF(S75='3. Parameters kostprijsmodel'!$C$10,'3. Parameters kostprijsmodel'!$D$10,IF(S75='3. Parameters kostprijsmodel'!$C$11,'3. Parameters kostprijsmodel'!$D$11,"")))</f>
        <v/>
      </c>
      <c r="U75" s="150"/>
      <c r="V75" s="150" t="str">
        <f t="shared" ref="V75:V84" si="13">IF($H75="","",(K75*$R75*$T75+$U75))</f>
        <v/>
      </c>
      <c r="W75" s="150" t="str">
        <f t="shared" ref="W75:W84" si="14">IF($H75="","",(L75*$R75*$T75+$U75))</f>
        <v/>
      </c>
      <c r="X75" s="150" t="str">
        <f t="shared" ref="X75:X84" si="15">IF($H75="","",(M75*$R75*$T75+$U75))</f>
        <v/>
      </c>
      <c r="Y75" s="150" t="str">
        <f t="shared" ref="Y75:Y84" si="16">IF($H75="","",(N75*$R75*$T75+$U75))</f>
        <v/>
      </c>
    </row>
    <row r="76" spans="1:25" ht="14.1" customHeight="1" x14ac:dyDescent="0.2">
      <c r="A76" s="138"/>
      <c r="B76" s="112"/>
      <c r="C76" s="265"/>
      <c r="D76" s="792"/>
      <c r="E76" s="793"/>
      <c r="F76" s="793"/>
      <c r="G76" s="794"/>
      <c r="H76" s="27"/>
      <c r="I76" s="26"/>
      <c r="J76" s="46"/>
      <c r="K76" s="72"/>
      <c r="L76" s="72" t="s">
        <v>296</v>
      </c>
      <c r="M76" s="72" t="s">
        <v>296</v>
      </c>
      <c r="N76" s="72" t="s">
        <v>296</v>
      </c>
      <c r="O76" s="73"/>
      <c r="P76" s="92"/>
      <c r="Q76" s="259"/>
      <c r="R76" s="66"/>
      <c r="S76" s="73"/>
      <c r="T76" s="73" t="str">
        <f>IF(S76='3. Parameters kostprijsmodel'!$C$9,'3. Parameters kostprijsmodel'!$D$9,IF(S76='3. Parameters kostprijsmodel'!$C$10,'3. Parameters kostprijsmodel'!$D$10,IF(S76='3. Parameters kostprijsmodel'!$C$11,'3. Parameters kostprijsmodel'!$D$11,"")))</f>
        <v/>
      </c>
      <c r="U76" s="146"/>
      <c r="V76" s="146" t="str">
        <f t="shared" si="13"/>
        <v/>
      </c>
      <c r="W76" s="146" t="str">
        <f t="shared" si="14"/>
        <v/>
      </c>
      <c r="X76" s="146" t="str">
        <f t="shared" si="15"/>
        <v/>
      </c>
      <c r="Y76" s="146" t="str">
        <f t="shared" si="16"/>
        <v/>
      </c>
    </row>
    <row r="77" spans="1:25" ht="14.1" customHeight="1" x14ac:dyDescent="0.2">
      <c r="A77" s="138"/>
      <c r="B77" s="112"/>
      <c r="C77" s="265"/>
      <c r="D77" s="792"/>
      <c r="E77" s="793"/>
      <c r="F77" s="793"/>
      <c r="G77" s="794"/>
      <c r="H77" s="27"/>
      <c r="I77" s="26"/>
      <c r="J77" s="46"/>
      <c r="K77" s="72"/>
      <c r="L77" s="72"/>
      <c r="M77" s="72" t="s">
        <v>296</v>
      </c>
      <c r="N77" s="72" t="s">
        <v>296</v>
      </c>
      <c r="O77" s="73"/>
      <c r="P77" s="92"/>
      <c r="Q77" s="259"/>
      <c r="R77" s="66"/>
      <c r="S77" s="73"/>
      <c r="T77" s="73" t="str">
        <f>IF(S77='3. Parameters kostprijsmodel'!$C$9,'3. Parameters kostprijsmodel'!$D$9,IF(S77='3. Parameters kostprijsmodel'!$C$10,'3. Parameters kostprijsmodel'!$D$10,IF(S77='3. Parameters kostprijsmodel'!$C$11,'3. Parameters kostprijsmodel'!$D$11,"")))</f>
        <v/>
      </c>
      <c r="U77" s="146"/>
      <c r="V77" s="146" t="str">
        <f t="shared" si="13"/>
        <v/>
      </c>
      <c r="W77" s="146" t="str">
        <f t="shared" si="14"/>
        <v/>
      </c>
      <c r="X77" s="146" t="str">
        <f t="shared" si="15"/>
        <v/>
      </c>
      <c r="Y77" s="146" t="str">
        <f t="shared" si="16"/>
        <v/>
      </c>
    </row>
    <row r="78" spans="1:25" ht="14.1" customHeight="1" x14ac:dyDescent="0.2">
      <c r="A78" s="139"/>
      <c r="B78" s="140"/>
      <c r="C78" s="266"/>
      <c r="D78" s="795"/>
      <c r="E78" s="796"/>
      <c r="F78" s="796"/>
      <c r="G78" s="797"/>
      <c r="H78" s="29"/>
      <c r="I78" s="31"/>
      <c r="J78" s="55"/>
      <c r="K78" s="76"/>
      <c r="L78" s="76"/>
      <c r="M78" s="76" t="s">
        <v>296</v>
      </c>
      <c r="N78" s="76" t="s">
        <v>296</v>
      </c>
      <c r="O78" s="77"/>
      <c r="P78" s="181"/>
      <c r="Q78" s="253"/>
      <c r="R78" s="76"/>
      <c r="S78" s="77"/>
      <c r="T78" s="77" t="str">
        <f>IF(S78='3. Parameters kostprijsmodel'!$C$9,'3. Parameters kostprijsmodel'!$D$9,IF(S78='3. Parameters kostprijsmodel'!$C$10,'3. Parameters kostprijsmodel'!$D$10,IF(S78='3. Parameters kostprijsmodel'!$C$11,'3. Parameters kostprijsmodel'!$D$11,"")))</f>
        <v/>
      </c>
      <c r="U78" s="145"/>
      <c r="V78" s="145" t="str">
        <f t="shared" si="13"/>
        <v/>
      </c>
      <c r="W78" s="145" t="str">
        <f t="shared" si="14"/>
        <v/>
      </c>
      <c r="X78" s="145" t="str">
        <f t="shared" si="15"/>
        <v/>
      </c>
      <c r="Y78" s="145" t="str">
        <f t="shared" si="16"/>
        <v/>
      </c>
    </row>
    <row r="79" spans="1:25" ht="14.1" customHeight="1" x14ac:dyDescent="0.2">
      <c r="A79" s="78"/>
      <c r="B79" s="137"/>
      <c r="C79" s="528"/>
      <c r="D79" s="817" t="s">
        <v>301</v>
      </c>
      <c r="E79" s="790"/>
      <c r="F79" s="790"/>
      <c r="G79" s="791"/>
      <c r="H79" s="813" t="s">
        <v>302</v>
      </c>
      <c r="I79" s="814"/>
      <c r="J79" s="49" t="s">
        <v>166</v>
      </c>
      <c r="K79" s="257"/>
      <c r="L79" s="257"/>
      <c r="M79" s="257"/>
      <c r="N79" s="257"/>
      <c r="O79" s="102"/>
      <c r="P79" s="737" t="s">
        <v>303</v>
      </c>
      <c r="Q79" s="738"/>
      <c r="R79" s="45"/>
      <c r="S79" s="102"/>
      <c r="T79" s="102" t="str">
        <f>IF(S79='3. Parameters kostprijsmodel'!$C$9,'3. Parameters kostprijsmodel'!$D$9,IF(S79='3. Parameters kostprijsmodel'!$C$10,'3. Parameters kostprijsmodel'!$D$10,IF(S79='3. Parameters kostprijsmodel'!$C$11,'3. Parameters kostprijsmodel'!$D$11,"")))</f>
        <v/>
      </c>
      <c r="U79" s="150"/>
      <c r="V79" s="150" t="str">
        <f>IFERROR(IF($H79="","",(K79*$R79*$T79+$U79)),"")</f>
        <v/>
      </c>
      <c r="W79" s="150" t="str">
        <f t="shared" ref="W79:Y79" si="17">IFERROR(IF($H79="","",(L79*$R79*$T79+$U79)),"")</f>
        <v/>
      </c>
      <c r="X79" s="150" t="str">
        <f>IFERROR(IF($H79="","",(M79*$R79*$T79+$U79)),"")</f>
        <v/>
      </c>
      <c r="Y79" s="150" t="str">
        <f t="shared" si="17"/>
        <v/>
      </c>
    </row>
    <row r="80" spans="1:25" ht="14.1" customHeight="1" x14ac:dyDescent="0.2">
      <c r="A80" s="138"/>
      <c r="B80" s="112"/>
      <c r="C80" s="265"/>
      <c r="D80" s="792"/>
      <c r="E80" s="793"/>
      <c r="F80" s="793"/>
      <c r="G80" s="794"/>
      <c r="H80" s="815"/>
      <c r="I80" s="816"/>
      <c r="J80" s="56"/>
      <c r="K80" s="176"/>
      <c r="L80" s="176"/>
      <c r="M80" s="176" t="s">
        <v>296</v>
      </c>
      <c r="N80" s="176" t="s">
        <v>296</v>
      </c>
      <c r="O80" s="70"/>
      <c r="P80" s="739"/>
      <c r="Q80" s="740"/>
      <c r="R80" s="176"/>
      <c r="S80" s="70"/>
      <c r="T80" s="70" t="str">
        <f>IF(S80='3. Parameters kostprijsmodel'!$C$9,'3. Parameters kostprijsmodel'!$D$9,IF(S80='3. Parameters kostprijsmodel'!$C$10,'3. Parameters kostprijsmodel'!$D$10,IF(S80='3. Parameters kostprijsmodel'!$C$11,'3. Parameters kostprijsmodel'!$D$11,"")))</f>
        <v/>
      </c>
      <c r="U80" s="151"/>
      <c r="V80" s="151" t="str">
        <f t="shared" si="13"/>
        <v/>
      </c>
      <c r="W80" s="151" t="str">
        <f t="shared" si="14"/>
        <v/>
      </c>
      <c r="X80" s="151" t="str">
        <f t="shared" si="15"/>
        <v/>
      </c>
      <c r="Y80" s="151" t="str">
        <f t="shared" si="16"/>
        <v/>
      </c>
    </row>
    <row r="81" spans="1:25" ht="14.1" customHeight="1" x14ac:dyDescent="0.2">
      <c r="A81" s="138"/>
      <c r="B81" s="112"/>
      <c r="C81" s="265"/>
      <c r="D81" s="792"/>
      <c r="E81" s="793"/>
      <c r="F81" s="793"/>
      <c r="G81" s="794"/>
      <c r="H81" s="27"/>
      <c r="I81" s="26"/>
      <c r="J81" s="46"/>
      <c r="K81" s="66"/>
      <c r="L81" s="66"/>
      <c r="M81" s="66" t="s">
        <v>296</v>
      </c>
      <c r="N81" s="66" t="s">
        <v>296</v>
      </c>
      <c r="O81" s="66"/>
      <c r="P81" s="92"/>
      <c r="Q81" s="259"/>
      <c r="R81" s="66"/>
      <c r="S81" s="66"/>
      <c r="T81" s="66" t="str">
        <f>IF(S81='3. Parameters kostprijsmodel'!$C$9,'3. Parameters kostprijsmodel'!$D$9,IF(S81='3. Parameters kostprijsmodel'!$C$10,'3. Parameters kostprijsmodel'!$D$10,IF(S81='3. Parameters kostprijsmodel'!$C$11,'3. Parameters kostprijsmodel'!$D$11,"")))</f>
        <v/>
      </c>
      <c r="U81" s="146"/>
      <c r="V81" s="146" t="str">
        <f t="shared" si="13"/>
        <v/>
      </c>
      <c r="W81" s="146" t="str">
        <f t="shared" si="14"/>
        <v/>
      </c>
      <c r="X81" s="146" t="str">
        <f t="shared" si="15"/>
        <v/>
      </c>
      <c r="Y81" s="146" t="str">
        <f t="shared" si="16"/>
        <v/>
      </c>
    </row>
    <row r="82" spans="1:25" ht="14.1" customHeight="1" x14ac:dyDescent="0.2">
      <c r="A82" s="138"/>
      <c r="B82" s="112"/>
      <c r="C82" s="265"/>
      <c r="D82" s="792"/>
      <c r="E82" s="793"/>
      <c r="F82" s="793"/>
      <c r="G82" s="794"/>
      <c r="H82" s="27"/>
      <c r="I82" s="26"/>
      <c r="J82" s="46"/>
      <c r="K82" s="72"/>
      <c r="L82" s="72"/>
      <c r="M82" s="72" t="s">
        <v>296</v>
      </c>
      <c r="N82" s="72" t="s">
        <v>296</v>
      </c>
      <c r="O82" s="72"/>
      <c r="P82" s="92"/>
      <c r="Q82" s="259"/>
      <c r="R82" s="72"/>
      <c r="S82" s="72"/>
      <c r="T82" s="72" t="str">
        <f>IF(S82='3. Parameters kostprijsmodel'!$C$9,'3. Parameters kostprijsmodel'!$D$9,IF(S82='3. Parameters kostprijsmodel'!$C$10,'3. Parameters kostprijsmodel'!$D$10,IF(S82='3. Parameters kostprijsmodel'!$C$11,'3. Parameters kostprijsmodel'!$D$11,"")))</f>
        <v/>
      </c>
      <c r="U82" s="153"/>
      <c r="V82" s="153" t="str">
        <f t="shared" si="13"/>
        <v/>
      </c>
      <c r="W82" s="153" t="str">
        <f t="shared" si="14"/>
        <v/>
      </c>
      <c r="X82" s="153" t="str">
        <f t="shared" si="15"/>
        <v/>
      </c>
      <c r="Y82" s="153" t="str">
        <f t="shared" si="16"/>
        <v/>
      </c>
    </row>
    <row r="83" spans="1:25" ht="14.1" customHeight="1" x14ac:dyDescent="0.2">
      <c r="A83" s="138"/>
      <c r="B83" s="112"/>
      <c r="C83" s="265"/>
      <c r="D83" s="792"/>
      <c r="E83" s="793"/>
      <c r="F83" s="793"/>
      <c r="G83" s="794"/>
      <c r="H83" s="27"/>
      <c r="I83" s="26"/>
      <c r="J83" s="46"/>
      <c r="K83" s="72"/>
      <c r="L83" s="72"/>
      <c r="M83" s="72" t="s">
        <v>296</v>
      </c>
      <c r="N83" s="72" t="s">
        <v>296</v>
      </c>
      <c r="O83" s="72"/>
      <c r="P83" s="92"/>
      <c r="Q83" s="259"/>
      <c r="R83" s="72"/>
      <c r="S83" s="72"/>
      <c r="T83" s="72" t="str">
        <f>IF(S83='3. Parameters kostprijsmodel'!$C$9,'3. Parameters kostprijsmodel'!$D$9,IF(S83='3. Parameters kostprijsmodel'!$C$10,'3. Parameters kostprijsmodel'!$D$10,IF(S83='3. Parameters kostprijsmodel'!$C$11,'3. Parameters kostprijsmodel'!$D$11,"")))</f>
        <v/>
      </c>
      <c r="U83" s="153"/>
      <c r="V83" s="153" t="str">
        <f t="shared" si="13"/>
        <v/>
      </c>
      <c r="W83" s="153" t="str">
        <f t="shared" si="14"/>
        <v/>
      </c>
      <c r="X83" s="153" t="str">
        <f t="shared" si="15"/>
        <v/>
      </c>
      <c r="Y83" s="153" t="str">
        <f t="shared" si="16"/>
        <v/>
      </c>
    </row>
    <row r="84" spans="1:25" ht="14.1" customHeight="1" x14ac:dyDescent="0.2">
      <c r="A84" s="139"/>
      <c r="B84" s="140"/>
      <c r="C84" s="266"/>
      <c r="D84" s="795"/>
      <c r="E84" s="796"/>
      <c r="F84" s="796"/>
      <c r="G84" s="797"/>
      <c r="H84" s="29"/>
      <c r="I84" s="31"/>
      <c r="J84" s="55"/>
      <c r="K84" s="176"/>
      <c r="L84" s="176"/>
      <c r="M84" s="176" t="s">
        <v>296</v>
      </c>
      <c r="N84" s="176" t="s">
        <v>296</v>
      </c>
      <c r="O84" s="176"/>
      <c r="P84" s="181"/>
      <c r="Q84" s="253"/>
      <c r="R84" s="176"/>
      <c r="S84" s="176"/>
      <c r="T84" s="176" t="str">
        <f>IF(S84='3. Parameters kostprijsmodel'!$C$9,'3. Parameters kostprijsmodel'!$D$9,IF(S84='3. Parameters kostprijsmodel'!$C$10,'3. Parameters kostprijsmodel'!$D$10,IF(S84='3. Parameters kostprijsmodel'!$C$11,'3. Parameters kostprijsmodel'!$D$11,"")))</f>
        <v/>
      </c>
      <c r="U84" s="151"/>
      <c r="V84" s="151" t="str">
        <f t="shared" si="13"/>
        <v/>
      </c>
      <c r="W84" s="151" t="str">
        <f t="shared" si="14"/>
        <v/>
      </c>
      <c r="X84" s="151" t="str">
        <f t="shared" si="15"/>
        <v/>
      </c>
      <c r="Y84" s="151" t="str">
        <f t="shared" si="16"/>
        <v/>
      </c>
    </row>
    <row r="85" spans="1:25" ht="14.1" customHeight="1" x14ac:dyDescent="0.2">
      <c r="A85" s="141"/>
      <c r="B85" s="110"/>
      <c r="C85" s="110"/>
      <c r="D85" s="110"/>
      <c r="E85" s="110"/>
      <c r="F85" s="110"/>
      <c r="G85" s="110"/>
      <c r="H85" s="110"/>
      <c r="I85" s="530"/>
      <c r="J85" s="110"/>
      <c r="K85" s="84"/>
      <c r="L85" s="84"/>
      <c r="M85" s="84"/>
      <c r="N85" s="84"/>
      <c r="O85" s="84"/>
      <c r="P85" s="121"/>
      <c r="Q85" s="121"/>
      <c r="R85" s="84"/>
      <c r="S85" s="84"/>
      <c r="T85" s="84"/>
      <c r="U85" s="162"/>
      <c r="V85" s="84"/>
      <c r="W85" s="98"/>
      <c r="X85" s="84"/>
      <c r="Y85" s="268"/>
    </row>
    <row r="86" spans="1:25" ht="14.1" customHeight="1" x14ac:dyDescent="0.2">
      <c r="A86" s="142"/>
      <c r="B86" s="111"/>
      <c r="C86" s="111"/>
      <c r="D86" s="111"/>
      <c r="E86" s="111"/>
      <c r="F86" s="111"/>
      <c r="G86" s="111"/>
      <c r="H86" s="111"/>
      <c r="I86" s="531"/>
      <c r="J86" s="111"/>
      <c r="K86" s="85"/>
      <c r="L86" s="85"/>
      <c r="M86" s="85"/>
      <c r="N86" s="85"/>
      <c r="O86" s="85"/>
      <c r="P86" s="122"/>
      <c r="Q86" s="122"/>
      <c r="R86" s="85"/>
      <c r="S86" s="85"/>
      <c r="T86" s="85"/>
      <c r="U86" s="163"/>
      <c r="V86" s="85"/>
      <c r="W86" s="85"/>
      <c r="X86" s="85"/>
      <c r="Y86" s="100"/>
    </row>
    <row r="87" spans="1:25" ht="14.1" customHeight="1" x14ac:dyDescent="0.2">
      <c r="A87" s="112"/>
      <c r="B87" s="112"/>
      <c r="C87" s="112"/>
      <c r="D87" s="112"/>
      <c r="E87" s="112"/>
      <c r="F87" s="112"/>
      <c r="G87" s="112"/>
      <c r="H87" s="112"/>
      <c r="I87" s="112"/>
      <c r="J87" s="112"/>
      <c r="K87" s="86"/>
      <c r="L87" s="86"/>
      <c r="M87" s="86"/>
      <c r="N87" s="86"/>
      <c r="O87" s="86"/>
      <c r="P87" s="123"/>
      <c r="Q87" s="123"/>
      <c r="R87" s="86"/>
      <c r="S87" s="86"/>
      <c r="T87" s="86"/>
      <c r="U87" s="154"/>
      <c r="V87" s="86"/>
      <c r="W87" s="86"/>
      <c r="X87" s="86"/>
      <c r="Y87" s="86"/>
    </row>
    <row r="88" spans="1:25" ht="14.1" customHeight="1" x14ac:dyDescent="0.2">
      <c r="A88" s="112"/>
      <c r="B88" s="112"/>
      <c r="C88" s="112"/>
      <c r="D88" s="112"/>
      <c r="E88" s="112"/>
      <c r="F88" s="112"/>
      <c r="G88" s="112"/>
      <c r="H88" s="112"/>
      <c r="I88" s="112"/>
      <c r="J88" s="112"/>
      <c r="K88" s="86"/>
      <c r="L88" s="86"/>
      <c r="M88" s="86"/>
      <c r="N88" s="86"/>
      <c r="O88" s="86"/>
      <c r="P88" s="123"/>
      <c r="Q88" s="123"/>
      <c r="R88" s="86"/>
      <c r="S88" s="86"/>
      <c r="T88" s="86"/>
      <c r="U88" s="154"/>
      <c r="V88" s="86"/>
      <c r="W88" s="86"/>
      <c r="X88" s="86"/>
      <c r="Y88" s="86"/>
    </row>
    <row r="89" spans="1:25" ht="14.1" customHeight="1" x14ac:dyDescent="0.2">
      <c r="A89" s="112"/>
      <c r="B89" s="112"/>
      <c r="C89" s="112"/>
      <c r="D89" s="112"/>
      <c r="E89" s="112"/>
      <c r="F89" s="112"/>
      <c r="G89" s="112"/>
      <c r="H89" s="112"/>
      <c r="I89" s="112"/>
      <c r="J89" s="112"/>
      <c r="K89" s="86"/>
      <c r="L89" s="86"/>
      <c r="M89" s="86"/>
      <c r="N89" s="86"/>
      <c r="O89" s="86"/>
      <c r="P89" s="123"/>
      <c r="Q89" s="123"/>
      <c r="R89" s="86"/>
      <c r="S89" s="86"/>
      <c r="T89" s="86"/>
      <c r="U89" s="154"/>
      <c r="V89" s="86"/>
      <c r="W89" s="86"/>
      <c r="X89" s="86"/>
      <c r="Y89" s="86"/>
    </row>
    <row r="90" spans="1:25" ht="14.1" customHeight="1" x14ac:dyDescent="0.2">
      <c r="A90" s="112"/>
      <c r="B90" s="112"/>
      <c r="C90" s="112"/>
      <c r="D90" s="112"/>
      <c r="E90" s="112"/>
      <c r="F90" s="112"/>
      <c r="G90" s="112"/>
      <c r="H90" s="112"/>
      <c r="I90" s="112"/>
      <c r="J90" s="112"/>
      <c r="K90" s="86"/>
      <c r="L90" s="86"/>
      <c r="M90" s="86"/>
      <c r="N90" s="86"/>
      <c r="O90" s="86"/>
      <c r="P90" s="123"/>
      <c r="Q90" s="123"/>
      <c r="R90" s="86"/>
      <c r="S90" s="86"/>
      <c r="T90" s="86"/>
      <c r="U90" s="154"/>
      <c r="V90" s="86"/>
      <c r="W90" s="86"/>
      <c r="X90" s="86"/>
      <c r="Y90" s="86"/>
    </row>
    <row r="91" spans="1:25" ht="14.1" customHeight="1" x14ac:dyDescent="0.2">
      <c r="A91" s="112"/>
      <c r="B91" s="112"/>
      <c r="C91" s="112"/>
      <c r="D91" s="112"/>
      <c r="E91" s="112"/>
      <c r="F91" s="112"/>
      <c r="G91" s="112"/>
      <c r="H91" s="112"/>
      <c r="I91" s="112"/>
      <c r="J91" s="112"/>
      <c r="K91" s="86"/>
      <c r="L91" s="86"/>
      <c r="M91" s="86"/>
      <c r="N91" s="86"/>
      <c r="O91" s="86"/>
      <c r="P91" s="123"/>
      <c r="Q91" s="123"/>
      <c r="R91" s="86"/>
      <c r="S91" s="86"/>
      <c r="T91" s="86"/>
      <c r="U91" s="154"/>
      <c r="V91" s="86"/>
      <c r="W91" s="86"/>
      <c r="X91" s="86"/>
      <c r="Y91" s="86"/>
    </row>
    <row r="92" spans="1:25" ht="14.1" customHeight="1" x14ac:dyDescent="0.2">
      <c r="A92" s="112"/>
      <c r="B92" s="112"/>
      <c r="C92" s="112"/>
      <c r="D92" s="112"/>
      <c r="E92" s="112"/>
      <c r="F92" s="112"/>
      <c r="G92" s="112"/>
      <c r="H92" s="112"/>
      <c r="I92" s="112"/>
      <c r="J92" s="112"/>
      <c r="K92" s="86"/>
      <c r="L92" s="86"/>
      <c r="M92" s="86"/>
      <c r="N92" s="86"/>
      <c r="O92" s="86"/>
      <c r="P92" s="123"/>
      <c r="Q92" s="123"/>
      <c r="R92" s="86"/>
      <c r="S92" s="86"/>
      <c r="T92" s="86"/>
      <c r="U92" s="154"/>
      <c r="V92" s="86"/>
      <c r="W92" s="86"/>
      <c r="X92" s="86"/>
      <c r="Y92" s="86"/>
    </row>
    <row r="93" spans="1:25" ht="14.1" customHeight="1" x14ac:dyDescent="0.2">
      <c r="A93" s="112"/>
      <c r="B93" s="112"/>
      <c r="C93" s="112"/>
      <c r="D93" s="112"/>
      <c r="E93" s="112"/>
      <c r="F93" s="112"/>
      <c r="G93" s="112"/>
      <c r="H93" s="112"/>
      <c r="I93" s="112"/>
      <c r="J93" s="112"/>
      <c r="K93" s="86"/>
      <c r="L93" s="86"/>
      <c r="M93" s="86"/>
      <c r="N93" s="86"/>
      <c r="O93" s="86"/>
      <c r="P93" s="123"/>
      <c r="Q93" s="123"/>
      <c r="R93" s="86"/>
      <c r="S93" s="86"/>
      <c r="T93" s="86"/>
      <c r="U93" s="154"/>
      <c r="V93" s="86"/>
      <c r="W93" s="86"/>
      <c r="X93" s="86"/>
      <c r="Y93" s="86"/>
    </row>
    <row r="94" spans="1:25" ht="14.1" customHeight="1" x14ac:dyDescent="0.2">
      <c r="A94" s="112"/>
      <c r="B94" s="112"/>
      <c r="C94" s="112"/>
      <c r="D94" s="112"/>
      <c r="E94" s="112"/>
      <c r="F94" s="112"/>
      <c r="G94" s="112"/>
      <c r="H94" s="112"/>
      <c r="I94" s="112"/>
      <c r="J94" s="112"/>
      <c r="K94" s="86"/>
      <c r="L94" s="86"/>
      <c r="M94" s="86"/>
      <c r="N94" s="86"/>
      <c r="O94" s="86"/>
      <c r="P94" s="123"/>
      <c r="Q94" s="123"/>
      <c r="R94" s="86"/>
      <c r="S94" s="86"/>
      <c r="T94" s="86"/>
      <c r="U94" s="154"/>
      <c r="V94" s="86"/>
      <c r="W94" s="86"/>
      <c r="X94" s="86"/>
      <c r="Y94" s="86"/>
    </row>
    <row r="95" spans="1:25" ht="14.1" customHeight="1" x14ac:dyDescent="0.2">
      <c r="A95" s="112"/>
      <c r="B95" s="112"/>
      <c r="C95" s="112"/>
      <c r="D95" s="112"/>
      <c r="E95" s="112"/>
      <c r="F95" s="112"/>
      <c r="G95" s="112"/>
      <c r="H95" s="112"/>
      <c r="I95" s="112"/>
      <c r="J95" s="112"/>
      <c r="K95" s="86"/>
      <c r="L95" s="86"/>
      <c r="M95" s="86"/>
      <c r="N95" s="86"/>
      <c r="O95" s="86"/>
      <c r="P95" s="123"/>
      <c r="Q95" s="123"/>
      <c r="R95" s="86"/>
      <c r="S95" s="86"/>
      <c r="T95" s="86"/>
      <c r="U95" s="154"/>
      <c r="V95" s="86"/>
      <c r="W95" s="86"/>
      <c r="X95" s="86"/>
      <c r="Y95" s="86"/>
    </row>
    <row r="96" spans="1:25" ht="14.1" customHeight="1" x14ac:dyDescent="0.2">
      <c r="A96" s="112"/>
      <c r="B96" s="112"/>
      <c r="C96" s="112"/>
      <c r="D96" s="112"/>
      <c r="E96" s="112"/>
      <c r="F96" s="112"/>
      <c r="G96" s="112"/>
      <c r="H96" s="112"/>
      <c r="I96" s="112"/>
      <c r="J96" s="112"/>
      <c r="K96" s="86"/>
      <c r="L96" s="86"/>
      <c r="M96" s="86"/>
      <c r="N96" s="86"/>
      <c r="O96" s="86"/>
      <c r="P96" s="123"/>
      <c r="Q96" s="123"/>
      <c r="R96" s="86"/>
      <c r="S96" s="86"/>
      <c r="T96" s="86"/>
      <c r="U96" s="154"/>
      <c r="V96" s="86"/>
      <c r="W96" s="86"/>
      <c r="X96" s="86"/>
      <c r="Y96" s="86"/>
    </row>
    <row r="97" spans="1:25" ht="14.1" customHeight="1" x14ac:dyDescent="0.2">
      <c r="A97" s="112"/>
      <c r="B97" s="112"/>
      <c r="C97" s="112"/>
      <c r="D97" s="112"/>
      <c r="E97" s="112"/>
      <c r="F97" s="112"/>
      <c r="G97" s="112"/>
      <c r="H97" s="112"/>
      <c r="I97" s="112"/>
      <c r="J97" s="112"/>
      <c r="K97" s="86"/>
      <c r="L97" s="86"/>
      <c r="M97" s="86"/>
      <c r="N97" s="86"/>
      <c r="O97" s="86"/>
      <c r="P97" s="123"/>
      <c r="Q97" s="123"/>
      <c r="R97" s="86"/>
      <c r="S97" s="86"/>
      <c r="T97" s="86"/>
      <c r="U97" s="154"/>
      <c r="V97" s="86"/>
      <c r="W97" s="86"/>
      <c r="X97" s="86"/>
      <c r="Y97" s="86"/>
    </row>
    <row r="98" spans="1:25" ht="14.1" customHeight="1" x14ac:dyDescent="0.2">
      <c r="A98" s="112"/>
      <c r="B98" s="112"/>
      <c r="C98" s="112"/>
      <c r="D98" s="112"/>
      <c r="E98" s="112"/>
      <c r="F98" s="112"/>
      <c r="G98" s="112"/>
      <c r="H98" s="112"/>
      <c r="I98" s="112"/>
      <c r="J98" s="112"/>
      <c r="K98" s="86"/>
      <c r="L98" s="86"/>
      <c r="M98" s="86"/>
      <c r="N98" s="86"/>
      <c r="O98" s="86"/>
      <c r="P98" s="123"/>
      <c r="Q98" s="123"/>
      <c r="R98" s="86"/>
      <c r="S98" s="86"/>
      <c r="T98" s="86"/>
      <c r="U98" s="154"/>
      <c r="V98" s="86"/>
      <c r="W98" s="86"/>
      <c r="X98" s="86"/>
      <c r="Y98" s="86"/>
    </row>
    <row r="99" spans="1:25" ht="14.1" customHeight="1" x14ac:dyDescent="0.2">
      <c r="A99" s="112"/>
      <c r="B99" s="112"/>
      <c r="C99" s="112"/>
      <c r="D99" s="112"/>
      <c r="E99" s="112"/>
      <c r="F99" s="112"/>
      <c r="G99" s="112"/>
      <c r="H99" s="112"/>
      <c r="I99" s="112"/>
      <c r="J99" s="112"/>
      <c r="K99" s="86"/>
      <c r="L99" s="86"/>
      <c r="M99" s="86"/>
      <c r="N99" s="86"/>
      <c r="O99" s="86"/>
      <c r="P99" s="123"/>
      <c r="Q99" s="123"/>
      <c r="R99" s="86"/>
      <c r="S99" s="86"/>
      <c r="T99" s="86"/>
      <c r="U99" s="154"/>
      <c r="V99" s="86"/>
      <c r="W99" s="86"/>
      <c r="X99" s="86"/>
      <c r="Y99" s="86"/>
    </row>
    <row r="100" spans="1:25" ht="14.1" customHeight="1" x14ac:dyDescent="0.2">
      <c r="A100" s="112"/>
      <c r="B100" s="112"/>
      <c r="C100" s="112"/>
      <c r="D100" s="112"/>
      <c r="E100" s="112"/>
      <c r="F100" s="112"/>
      <c r="G100" s="112"/>
      <c r="H100" s="112"/>
      <c r="I100" s="112"/>
      <c r="J100" s="112"/>
      <c r="K100" s="86"/>
      <c r="L100" s="86"/>
      <c r="M100" s="86"/>
      <c r="N100" s="86"/>
      <c r="O100" s="86"/>
      <c r="P100" s="123"/>
      <c r="Q100" s="123"/>
      <c r="R100" s="86"/>
      <c r="S100" s="86"/>
      <c r="T100" s="86"/>
      <c r="U100" s="154"/>
      <c r="V100" s="86"/>
      <c r="W100" s="86"/>
      <c r="X100" s="86"/>
      <c r="Y100" s="86"/>
    </row>
    <row r="101" spans="1:25" ht="14.1" customHeight="1" x14ac:dyDescent="0.2">
      <c r="A101" s="112"/>
      <c r="B101" s="112"/>
      <c r="C101" s="112"/>
      <c r="D101" s="112"/>
      <c r="E101" s="112"/>
      <c r="F101" s="112"/>
      <c r="G101" s="112"/>
      <c r="H101" s="112"/>
      <c r="I101" s="112"/>
      <c r="J101" s="112"/>
      <c r="K101" s="86"/>
      <c r="L101" s="86"/>
      <c r="M101" s="86"/>
      <c r="N101" s="86"/>
      <c r="O101" s="86"/>
      <c r="P101" s="123"/>
      <c r="Q101" s="123"/>
      <c r="R101" s="86"/>
      <c r="S101" s="86"/>
      <c r="T101" s="86"/>
      <c r="U101" s="154"/>
      <c r="V101" s="86"/>
      <c r="W101" s="86"/>
      <c r="X101" s="86"/>
      <c r="Y101" s="86"/>
    </row>
    <row r="102" spans="1:25" ht="14.1" customHeight="1" x14ac:dyDescent="0.2">
      <c r="A102" s="112"/>
      <c r="B102" s="112"/>
      <c r="C102" s="112"/>
      <c r="D102" s="112"/>
      <c r="E102" s="112"/>
      <c r="F102" s="112"/>
      <c r="G102" s="112"/>
      <c r="H102" s="112"/>
      <c r="I102" s="112"/>
      <c r="J102" s="112"/>
      <c r="K102" s="86"/>
      <c r="L102" s="86"/>
      <c r="M102" s="86"/>
      <c r="N102" s="86"/>
      <c r="O102" s="86"/>
      <c r="P102" s="123"/>
      <c r="Q102" s="123"/>
      <c r="R102" s="86"/>
      <c r="S102" s="86"/>
      <c r="T102" s="86"/>
      <c r="U102" s="154"/>
      <c r="V102" s="86"/>
      <c r="W102" s="86"/>
      <c r="X102" s="86"/>
      <c r="Y102" s="86"/>
    </row>
    <row r="103" spans="1:25" ht="14.1" customHeight="1" x14ac:dyDescent="0.2">
      <c r="A103" s="112"/>
      <c r="B103" s="112"/>
      <c r="C103" s="112"/>
      <c r="D103" s="112"/>
      <c r="E103" s="112"/>
      <c r="F103" s="112"/>
      <c r="G103" s="112"/>
      <c r="H103" s="112"/>
      <c r="I103" s="112"/>
      <c r="J103" s="112"/>
      <c r="K103" s="86"/>
      <c r="L103" s="86"/>
      <c r="M103" s="86"/>
      <c r="N103" s="86"/>
      <c r="O103" s="86"/>
      <c r="P103" s="123"/>
      <c r="Q103" s="123"/>
      <c r="R103" s="86"/>
      <c r="S103" s="86"/>
      <c r="T103" s="86"/>
      <c r="U103" s="154"/>
      <c r="V103" s="86"/>
      <c r="W103" s="86"/>
      <c r="X103" s="86"/>
      <c r="Y103" s="86"/>
    </row>
    <row r="104" spans="1:25" ht="14.1" customHeight="1" x14ac:dyDescent="0.2">
      <c r="A104" s="112"/>
      <c r="B104" s="112"/>
      <c r="C104" s="112"/>
      <c r="D104" s="112"/>
      <c r="E104" s="112"/>
      <c r="F104" s="112"/>
      <c r="G104" s="112"/>
      <c r="H104" s="112"/>
      <c r="I104" s="112"/>
      <c r="J104" s="112"/>
      <c r="K104" s="86"/>
      <c r="L104" s="86"/>
      <c r="M104" s="86"/>
      <c r="N104" s="86"/>
      <c r="O104" s="86"/>
      <c r="P104" s="123"/>
      <c r="Q104" s="123"/>
      <c r="R104" s="86"/>
      <c r="S104" s="86"/>
      <c r="T104" s="86"/>
      <c r="U104" s="154"/>
      <c r="V104" s="86"/>
      <c r="W104" s="86"/>
      <c r="X104" s="86"/>
      <c r="Y104" s="86"/>
    </row>
    <row r="105" spans="1:25" ht="14.1" customHeight="1" x14ac:dyDescent="0.2">
      <c r="A105" s="112"/>
      <c r="B105" s="112"/>
      <c r="C105" s="112"/>
      <c r="D105" s="112"/>
      <c r="E105" s="112"/>
      <c r="F105" s="112"/>
      <c r="G105" s="112"/>
      <c r="H105" s="112"/>
      <c r="I105" s="112"/>
      <c r="J105" s="112"/>
      <c r="K105" s="86"/>
      <c r="L105" s="86"/>
      <c r="M105" s="86"/>
      <c r="N105" s="86"/>
      <c r="O105" s="86"/>
      <c r="P105" s="123"/>
      <c r="Q105" s="123"/>
      <c r="R105" s="86"/>
      <c r="S105" s="86"/>
      <c r="T105" s="86"/>
      <c r="U105" s="154"/>
      <c r="V105" s="86"/>
      <c r="W105" s="86"/>
      <c r="X105" s="86"/>
      <c r="Y105" s="86"/>
    </row>
    <row r="106" spans="1:25" ht="14.1" customHeight="1" x14ac:dyDescent="0.2">
      <c r="A106" s="112"/>
      <c r="B106" s="112"/>
      <c r="C106" s="112"/>
      <c r="D106" s="112"/>
      <c r="E106" s="112"/>
      <c r="F106" s="112"/>
      <c r="G106" s="112"/>
      <c r="H106" s="112"/>
      <c r="I106" s="112"/>
      <c r="J106" s="112"/>
      <c r="K106" s="86"/>
      <c r="L106" s="86"/>
      <c r="M106" s="86"/>
      <c r="N106" s="86"/>
      <c r="O106" s="86"/>
      <c r="P106" s="123"/>
      <c r="Q106" s="123"/>
      <c r="R106" s="86"/>
      <c r="S106" s="86"/>
      <c r="T106" s="86"/>
      <c r="U106" s="154"/>
      <c r="V106" s="86"/>
      <c r="W106" s="86"/>
      <c r="X106" s="86"/>
      <c r="Y106" s="86"/>
    </row>
    <row r="107" spans="1:25" ht="14.1" customHeight="1" x14ac:dyDescent="0.2">
      <c r="A107" s="112"/>
      <c r="B107" s="112"/>
      <c r="C107" s="112"/>
      <c r="D107" s="112"/>
      <c r="E107" s="112"/>
      <c r="F107" s="112"/>
      <c r="G107" s="112"/>
      <c r="H107" s="112"/>
      <c r="I107" s="112"/>
      <c r="J107" s="112"/>
      <c r="K107" s="86"/>
      <c r="L107" s="86"/>
      <c r="M107" s="86"/>
      <c r="N107" s="86"/>
      <c r="O107" s="86"/>
      <c r="P107" s="123"/>
      <c r="Q107" s="123"/>
      <c r="R107" s="86"/>
      <c r="S107" s="86"/>
      <c r="T107" s="86"/>
      <c r="U107" s="154"/>
      <c r="V107" s="86"/>
      <c r="W107" s="86"/>
      <c r="X107" s="86"/>
      <c r="Y107" s="86"/>
    </row>
    <row r="108" spans="1:25" ht="14.1" customHeight="1" x14ac:dyDescent="0.2">
      <c r="A108" s="112"/>
      <c r="B108" s="112"/>
      <c r="C108" s="112"/>
      <c r="D108" s="112"/>
      <c r="E108" s="112"/>
      <c r="F108" s="112"/>
      <c r="G108" s="112"/>
      <c r="H108" s="112"/>
      <c r="I108" s="112"/>
      <c r="J108" s="112"/>
      <c r="K108" s="86"/>
      <c r="L108" s="86"/>
      <c r="M108" s="86"/>
      <c r="N108" s="86"/>
      <c r="O108" s="86"/>
      <c r="P108" s="123"/>
      <c r="Q108" s="123"/>
      <c r="R108" s="86"/>
      <c r="S108" s="86"/>
      <c r="T108" s="86"/>
      <c r="U108" s="154"/>
      <c r="V108" s="86"/>
      <c r="W108" s="86"/>
      <c r="X108" s="86"/>
      <c r="Y108" s="86"/>
    </row>
    <row r="109" spans="1:25" ht="14.1" customHeight="1" x14ac:dyDescent="0.2">
      <c r="A109" s="112"/>
      <c r="B109" s="112"/>
      <c r="C109" s="112"/>
      <c r="D109" s="112"/>
      <c r="E109" s="112"/>
      <c r="F109" s="112"/>
      <c r="G109" s="112"/>
      <c r="H109" s="112"/>
      <c r="I109" s="112"/>
      <c r="J109" s="112"/>
      <c r="K109" s="86"/>
      <c r="L109" s="86"/>
      <c r="M109" s="86"/>
      <c r="N109" s="86"/>
      <c r="O109" s="86"/>
      <c r="P109" s="123"/>
      <c r="Q109" s="123"/>
      <c r="R109" s="86"/>
      <c r="S109" s="86"/>
      <c r="T109" s="86"/>
      <c r="U109" s="154"/>
      <c r="V109" s="86"/>
      <c r="W109" s="86"/>
      <c r="X109" s="86"/>
      <c r="Y109" s="86"/>
    </row>
    <row r="110" spans="1:25" ht="14.1" customHeight="1" x14ac:dyDescent="0.2">
      <c r="A110" s="112"/>
      <c r="B110" s="112"/>
      <c r="C110" s="112"/>
      <c r="D110" s="112"/>
      <c r="E110" s="112"/>
      <c r="F110" s="112"/>
      <c r="G110" s="112"/>
      <c r="H110" s="112"/>
      <c r="I110" s="112"/>
      <c r="J110" s="112"/>
      <c r="K110" s="86"/>
      <c r="L110" s="86"/>
      <c r="M110" s="86"/>
      <c r="N110" s="86"/>
      <c r="O110" s="86"/>
      <c r="P110" s="123"/>
      <c r="Q110" s="123"/>
      <c r="R110" s="86"/>
      <c r="S110" s="86"/>
      <c r="T110" s="86"/>
      <c r="U110" s="154"/>
      <c r="V110" s="86"/>
      <c r="W110" s="86"/>
      <c r="X110" s="86"/>
      <c r="Y110" s="86"/>
    </row>
    <row r="111" spans="1:25" ht="14.1" customHeight="1" x14ac:dyDescent="0.2">
      <c r="A111" s="112"/>
      <c r="B111" s="112"/>
      <c r="C111" s="112"/>
      <c r="D111" s="112"/>
      <c r="E111" s="112"/>
      <c r="F111" s="112"/>
      <c r="G111" s="112"/>
      <c r="H111" s="112"/>
      <c r="I111" s="112"/>
      <c r="J111" s="112"/>
      <c r="K111" s="86"/>
      <c r="L111" s="86"/>
      <c r="M111" s="86"/>
      <c r="N111" s="86"/>
      <c r="O111" s="86"/>
      <c r="P111" s="123"/>
      <c r="Q111" s="123"/>
      <c r="R111" s="86"/>
      <c r="S111" s="86"/>
      <c r="T111" s="86"/>
      <c r="U111" s="154"/>
      <c r="V111" s="86"/>
      <c r="W111" s="86"/>
      <c r="X111" s="86"/>
      <c r="Y111" s="86"/>
    </row>
    <row r="112" spans="1:25" ht="14.1" customHeight="1" x14ac:dyDescent="0.2">
      <c r="A112" s="112"/>
      <c r="B112" s="112"/>
      <c r="C112" s="112"/>
      <c r="D112" s="112"/>
      <c r="E112" s="112"/>
      <c r="F112" s="112"/>
      <c r="G112" s="112"/>
      <c r="H112" s="112"/>
      <c r="I112" s="112"/>
      <c r="J112" s="112"/>
      <c r="K112" s="86"/>
      <c r="L112" s="86"/>
      <c r="M112" s="86"/>
      <c r="N112" s="86"/>
      <c r="O112" s="86"/>
      <c r="P112" s="123"/>
      <c r="Q112" s="123"/>
      <c r="R112" s="86"/>
      <c r="S112" s="86"/>
      <c r="T112" s="86"/>
      <c r="U112" s="154"/>
      <c r="V112" s="86"/>
      <c r="W112" s="86"/>
      <c r="X112" s="86"/>
      <c r="Y112" s="86"/>
    </row>
    <row r="113" spans="1:25" ht="14.1" customHeight="1" x14ac:dyDescent="0.2">
      <c r="A113" s="112"/>
      <c r="B113" s="112"/>
      <c r="C113" s="112"/>
      <c r="D113" s="112"/>
      <c r="E113" s="112"/>
      <c r="F113" s="112"/>
      <c r="G113" s="112"/>
      <c r="H113" s="112"/>
      <c r="I113" s="112"/>
      <c r="J113" s="112"/>
      <c r="K113" s="86"/>
      <c r="L113" s="86"/>
      <c r="M113" s="86"/>
      <c r="N113" s="86"/>
      <c r="O113" s="86"/>
      <c r="P113" s="123"/>
      <c r="Q113" s="123"/>
      <c r="R113" s="86"/>
      <c r="S113" s="86"/>
      <c r="T113" s="86"/>
      <c r="U113" s="154"/>
      <c r="V113" s="86"/>
      <c r="W113" s="86"/>
      <c r="X113" s="86"/>
      <c r="Y113" s="86"/>
    </row>
    <row r="114" spans="1:25" ht="14.1" customHeight="1" x14ac:dyDescent="0.2">
      <c r="A114" s="112"/>
      <c r="B114" s="112"/>
      <c r="C114" s="112"/>
      <c r="D114" s="112"/>
      <c r="E114" s="112"/>
      <c r="F114" s="112"/>
      <c r="G114" s="112"/>
      <c r="H114" s="112"/>
      <c r="I114" s="112"/>
      <c r="J114" s="112"/>
      <c r="K114" s="86"/>
      <c r="L114" s="86"/>
      <c r="M114" s="86"/>
      <c r="N114" s="86"/>
      <c r="O114" s="86"/>
      <c r="P114" s="123"/>
      <c r="Q114" s="123"/>
      <c r="R114" s="86"/>
      <c r="S114" s="86"/>
      <c r="T114" s="86"/>
      <c r="U114" s="154"/>
      <c r="V114" s="86"/>
      <c r="W114" s="86"/>
      <c r="X114" s="86"/>
      <c r="Y114" s="86"/>
    </row>
    <row r="115" spans="1:25" ht="14.1" customHeight="1" x14ac:dyDescent="0.2">
      <c r="A115" s="112"/>
      <c r="B115" s="112"/>
      <c r="C115" s="112"/>
      <c r="D115" s="112"/>
      <c r="E115" s="112"/>
      <c r="F115" s="112"/>
      <c r="G115" s="112"/>
      <c r="H115" s="112"/>
      <c r="I115" s="112"/>
      <c r="J115" s="112"/>
      <c r="K115" s="86"/>
      <c r="L115" s="86"/>
      <c r="M115" s="86"/>
      <c r="N115" s="86"/>
      <c r="O115" s="86"/>
      <c r="P115" s="123"/>
      <c r="Q115" s="123"/>
      <c r="R115" s="86"/>
      <c r="S115" s="86"/>
      <c r="T115" s="86"/>
      <c r="U115" s="154"/>
      <c r="V115" s="86"/>
      <c r="W115" s="86"/>
      <c r="X115" s="86"/>
      <c r="Y115" s="86"/>
    </row>
    <row r="116" spans="1:25" ht="14.1" customHeight="1" x14ac:dyDescent="0.2">
      <c r="A116" s="112"/>
      <c r="B116" s="112"/>
      <c r="C116" s="112"/>
      <c r="D116" s="112"/>
      <c r="E116" s="112"/>
      <c r="F116" s="112"/>
      <c r="G116" s="112"/>
      <c r="H116" s="112"/>
      <c r="I116" s="112"/>
      <c r="J116" s="112"/>
      <c r="K116" s="86"/>
      <c r="L116" s="86"/>
      <c r="M116" s="86"/>
      <c r="N116" s="86"/>
      <c r="O116" s="86"/>
      <c r="P116" s="123"/>
      <c r="Q116" s="123"/>
      <c r="R116" s="86"/>
      <c r="S116" s="86"/>
      <c r="T116" s="86"/>
      <c r="U116" s="154"/>
      <c r="V116" s="86"/>
      <c r="W116" s="86"/>
      <c r="X116" s="86"/>
      <c r="Y116" s="86"/>
    </row>
    <row r="117" spans="1:25" ht="14.1" customHeight="1" x14ac:dyDescent="0.2">
      <c r="A117" s="112"/>
      <c r="B117" s="112"/>
      <c r="C117" s="112"/>
      <c r="D117" s="112"/>
      <c r="E117" s="112"/>
      <c r="F117" s="112"/>
      <c r="G117" s="112"/>
      <c r="H117" s="112"/>
      <c r="I117" s="112"/>
      <c r="J117" s="112"/>
      <c r="K117" s="86"/>
      <c r="L117" s="86"/>
      <c r="M117" s="86"/>
      <c r="N117" s="86"/>
      <c r="O117" s="86"/>
      <c r="P117" s="123"/>
      <c r="Q117" s="123"/>
      <c r="R117" s="86"/>
      <c r="S117" s="86"/>
      <c r="T117" s="86"/>
      <c r="U117" s="154"/>
      <c r="V117" s="86"/>
      <c r="W117" s="86"/>
      <c r="X117" s="86"/>
      <c r="Y117" s="86"/>
    </row>
    <row r="118" spans="1:25" ht="14.1" customHeight="1" x14ac:dyDescent="0.2">
      <c r="A118" s="112"/>
      <c r="B118" s="112"/>
      <c r="C118" s="112"/>
      <c r="D118" s="112"/>
      <c r="E118" s="112"/>
      <c r="F118" s="112"/>
      <c r="G118" s="112"/>
      <c r="H118" s="112"/>
      <c r="I118" s="112"/>
      <c r="J118" s="112"/>
      <c r="K118" s="86"/>
      <c r="L118" s="86"/>
      <c r="M118" s="86"/>
      <c r="N118" s="86"/>
      <c r="O118" s="86"/>
      <c r="P118" s="123"/>
      <c r="Q118" s="123"/>
      <c r="R118" s="86"/>
      <c r="S118" s="86"/>
      <c r="T118" s="86"/>
      <c r="U118" s="154"/>
      <c r="V118" s="86"/>
      <c r="W118" s="86"/>
      <c r="X118" s="86"/>
      <c r="Y118" s="86"/>
    </row>
    <row r="119" spans="1:25" ht="14.1" customHeight="1" x14ac:dyDescent="0.2">
      <c r="A119" s="112"/>
      <c r="B119" s="112"/>
      <c r="C119" s="112"/>
      <c r="D119" s="112"/>
      <c r="E119" s="112"/>
      <c r="F119" s="112"/>
      <c r="G119" s="112"/>
      <c r="H119" s="112"/>
      <c r="I119" s="112"/>
      <c r="J119" s="112"/>
      <c r="K119" s="86"/>
      <c r="L119" s="86"/>
      <c r="M119" s="86"/>
      <c r="N119" s="86"/>
      <c r="O119" s="86"/>
      <c r="P119" s="123"/>
      <c r="Q119" s="123"/>
      <c r="R119" s="86"/>
      <c r="S119" s="86"/>
      <c r="T119" s="86"/>
      <c r="U119" s="154"/>
      <c r="V119" s="86"/>
      <c r="W119" s="86"/>
      <c r="X119" s="86"/>
      <c r="Y119" s="86"/>
    </row>
    <row r="120" spans="1:25" ht="14.1" customHeight="1" x14ac:dyDescent="0.2">
      <c r="A120" s="112"/>
      <c r="B120" s="112"/>
      <c r="C120" s="112"/>
      <c r="D120" s="112"/>
      <c r="E120" s="112"/>
      <c r="F120" s="112"/>
      <c r="G120" s="112"/>
      <c r="H120" s="112"/>
      <c r="I120" s="112"/>
      <c r="J120" s="112"/>
      <c r="K120" s="86"/>
      <c r="L120" s="86"/>
      <c r="M120" s="86"/>
      <c r="N120" s="86"/>
      <c r="O120" s="86"/>
      <c r="P120" s="123"/>
      <c r="Q120" s="123"/>
      <c r="R120" s="86"/>
      <c r="S120" s="86"/>
      <c r="T120" s="86"/>
      <c r="U120" s="154"/>
      <c r="V120" s="86"/>
      <c r="W120" s="86"/>
      <c r="X120" s="86"/>
      <c r="Y120" s="86"/>
    </row>
    <row r="121" spans="1:25" ht="14.1" customHeight="1" x14ac:dyDescent="0.2">
      <c r="A121" s="112"/>
      <c r="B121" s="112"/>
      <c r="C121" s="112"/>
      <c r="D121" s="112"/>
      <c r="E121" s="112"/>
      <c r="F121" s="112"/>
      <c r="G121" s="112"/>
      <c r="H121" s="112"/>
      <c r="I121" s="112"/>
      <c r="J121" s="112"/>
      <c r="K121" s="86"/>
      <c r="L121" s="86"/>
      <c r="M121" s="86"/>
      <c r="N121" s="86"/>
      <c r="O121" s="86"/>
      <c r="P121" s="123"/>
      <c r="Q121" s="123"/>
      <c r="R121" s="86"/>
      <c r="S121" s="86"/>
      <c r="T121" s="86"/>
      <c r="U121" s="154"/>
      <c r="V121" s="86"/>
      <c r="W121" s="86"/>
      <c r="X121" s="86"/>
      <c r="Y121" s="86"/>
    </row>
    <row r="122" spans="1:25" ht="14.1" customHeight="1" x14ac:dyDescent="0.2">
      <c r="A122" s="112"/>
      <c r="B122" s="112"/>
      <c r="C122" s="112"/>
      <c r="D122" s="112"/>
      <c r="E122" s="112"/>
      <c r="F122" s="112"/>
      <c r="G122" s="112"/>
      <c r="H122" s="112"/>
      <c r="I122" s="112"/>
      <c r="J122" s="112"/>
      <c r="K122" s="86"/>
      <c r="L122" s="86"/>
      <c r="M122" s="86"/>
      <c r="N122" s="86"/>
      <c r="O122" s="86"/>
      <c r="P122" s="123"/>
      <c r="Q122" s="123"/>
      <c r="R122" s="86"/>
      <c r="S122" s="86"/>
      <c r="T122" s="86"/>
      <c r="U122" s="154"/>
      <c r="V122" s="86"/>
      <c r="W122" s="86"/>
      <c r="X122" s="86"/>
      <c r="Y122" s="86"/>
    </row>
    <row r="123" spans="1:25" ht="14.1" customHeight="1" x14ac:dyDescent="0.2">
      <c r="A123" s="112"/>
      <c r="B123" s="112"/>
      <c r="C123" s="112"/>
      <c r="D123" s="112"/>
      <c r="E123" s="112"/>
      <c r="F123" s="112"/>
      <c r="G123" s="112"/>
      <c r="H123" s="112"/>
      <c r="I123" s="112"/>
      <c r="J123" s="112"/>
      <c r="K123" s="86"/>
      <c r="L123" s="86"/>
      <c r="M123" s="86"/>
      <c r="N123" s="86"/>
      <c r="O123" s="86"/>
      <c r="P123" s="123"/>
      <c r="Q123" s="123"/>
      <c r="R123" s="86"/>
      <c r="S123" s="86"/>
      <c r="T123" s="86"/>
      <c r="U123" s="154"/>
      <c r="V123" s="86"/>
      <c r="W123" s="86"/>
      <c r="X123" s="86"/>
      <c r="Y123" s="86"/>
    </row>
    <row r="124" spans="1:25" ht="14.1" customHeight="1" x14ac:dyDescent="0.2">
      <c r="A124" s="112"/>
      <c r="B124" s="112"/>
      <c r="C124" s="112"/>
      <c r="D124" s="112"/>
      <c r="E124" s="112"/>
      <c r="F124" s="112"/>
      <c r="G124" s="112"/>
      <c r="H124" s="112"/>
      <c r="I124" s="112"/>
      <c r="J124" s="112"/>
      <c r="K124" s="86"/>
      <c r="L124" s="86"/>
      <c r="M124" s="86"/>
      <c r="N124" s="86"/>
      <c r="O124" s="86"/>
      <c r="P124" s="123"/>
      <c r="Q124" s="123"/>
      <c r="R124" s="86"/>
      <c r="S124" s="86"/>
      <c r="T124" s="86"/>
      <c r="U124" s="154"/>
      <c r="V124" s="86"/>
      <c r="W124" s="86"/>
      <c r="X124" s="86"/>
      <c r="Y124" s="86"/>
    </row>
    <row r="125" spans="1:25" ht="14.1" customHeight="1" x14ac:dyDescent="0.2">
      <c r="A125" s="112"/>
      <c r="B125" s="112"/>
      <c r="C125" s="112"/>
      <c r="D125" s="112"/>
      <c r="E125" s="112"/>
      <c r="F125" s="112"/>
      <c r="G125" s="112"/>
      <c r="H125" s="112"/>
      <c r="I125" s="112"/>
      <c r="J125" s="112"/>
      <c r="K125" s="86"/>
      <c r="L125" s="86"/>
      <c r="M125" s="86"/>
      <c r="N125" s="86"/>
      <c r="O125" s="86"/>
      <c r="P125" s="123"/>
      <c r="Q125" s="123"/>
      <c r="R125" s="86"/>
      <c r="S125" s="86"/>
      <c r="T125" s="86"/>
      <c r="U125" s="154"/>
      <c r="V125" s="86"/>
      <c r="W125" s="86"/>
      <c r="X125" s="86"/>
      <c r="Y125" s="86"/>
    </row>
    <row r="126" spans="1:25" ht="14.1" customHeight="1" x14ac:dyDescent="0.2">
      <c r="A126" s="112"/>
      <c r="B126" s="112"/>
      <c r="C126" s="112"/>
      <c r="D126" s="112"/>
      <c r="E126" s="112"/>
      <c r="F126" s="112"/>
      <c r="G126" s="112"/>
      <c r="H126" s="112"/>
      <c r="I126" s="112"/>
      <c r="J126" s="112"/>
      <c r="K126" s="86"/>
      <c r="L126" s="86"/>
      <c r="M126" s="86"/>
      <c r="N126" s="86"/>
      <c r="O126" s="86"/>
      <c r="P126" s="123"/>
      <c r="Q126" s="123"/>
      <c r="R126" s="86"/>
      <c r="S126" s="86"/>
      <c r="T126" s="86"/>
      <c r="U126" s="154"/>
      <c r="V126" s="86"/>
      <c r="W126" s="86"/>
      <c r="X126" s="86"/>
      <c r="Y126" s="86"/>
    </row>
    <row r="127" spans="1:25" ht="14.1" customHeight="1" x14ac:dyDescent="0.2">
      <c r="A127" s="112"/>
      <c r="B127" s="112"/>
      <c r="C127" s="112"/>
      <c r="D127" s="112"/>
      <c r="E127" s="112"/>
      <c r="F127" s="112"/>
      <c r="G127" s="112"/>
      <c r="H127" s="112"/>
      <c r="I127" s="112"/>
      <c r="J127" s="112"/>
      <c r="K127" s="86"/>
      <c r="L127" s="86"/>
      <c r="M127" s="86"/>
      <c r="N127" s="86"/>
      <c r="O127" s="86"/>
      <c r="P127" s="123"/>
      <c r="Q127" s="123"/>
      <c r="R127" s="86"/>
      <c r="S127" s="86"/>
      <c r="T127" s="86"/>
      <c r="U127" s="154"/>
      <c r="V127" s="86"/>
      <c r="W127" s="86"/>
      <c r="X127" s="86"/>
      <c r="Y127" s="86"/>
    </row>
    <row r="128" spans="1:25" ht="14.1" customHeight="1" x14ac:dyDescent="0.2">
      <c r="A128" s="112"/>
      <c r="B128" s="112"/>
      <c r="C128" s="112"/>
      <c r="D128" s="112"/>
      <c r="E128" s="112"/>
      <c r="F128" s="112"/>
      <c r="G128" s="112"/>
      <c r="H128" s="112"/>
      <c r="I128" s="112"/>
      <c r="J128" s="112"/>
      <c r="K128" s="86"/>
      <c r="L128" s="86"/>
      <c r="M128" s="86"/>
      <c r="N128" s="86"/>
      <c r="O128" s="86"/>
      <c r="P128" s="123"/>
      <c r="Q128" s="123"/>
      <c r="R128" s="86"/>
      <c r="S128" s="86"/>
      <c r="T128" s="86"/>
      <c r="U128" s="154"/>
      <c r="V128" s="86"/>
      <c r="W128" s="86"/>
      <c r="X128" s="86"/>
      <c r="Y128" s="86"/>
    </row>
    <row r="129" spans="1:25" ht="14.1" customHeight="1" x14ac:dyDescent="0.2">
      <c r="A129" s="112"/>
      <c r="B129" s="112"/>
      <c r="C129" s="112"/>
      <c r="D129" s="112"/>
      <c r="E129" s="112"/>
      <c r="F129" s="112"/>
      <c r="G129" s="112"/>
      <c r="H129" s="112"/>
      <c r="I129" s="112"/>
      <c r="J129" s="112"/>
      <c r="K129" s="86"/>
      <c r="L129" s="86"/>
      <c r="M129" s="86"/>
      <c r="N129" s="86"/>
      <c r="O129" s="86"/>
      <c r="P129" s="123"/>
      <c r="Q129" s="123"/>
      <c r="R129" s="86"/>
      <c r="S129" s="86"/>
      <c r="T129" s="86"/>
      <c r="U129" s="154"/>
      <c r="V129" s="86"/>
      <c r="W129" s="86"/>
      <c r="X129" s="86"/>
      <c r="Y129" s="86"/>
    </row>
    <row r="130" spans="1:25" ht="14.1" customHeight="1" x14ac:dyDescent="0.2">
      <c r="A130" s="112"/>
      <c r="B130" s="112"/>
      <c r="C130" s="112"/>
      <c r="D130" s="112"/>
      <c r="E130" s="112"/>
      <c r="F130" s="112"/>
      <c r="G130" s="112"/>
      <c r="H130" s="112"/>
      <c r="I130" s="112"/>
      <c r="J130" s="112"/>
      <c r="K130" s="86"/>
      <c r="L130" s="86"/>
      <c r="M130" s="86"/>
      <c r="N130" s="86"/>
      <c r="O130" s="86"/>
      <c r="P130" s="123"/>
      <c r="Q130" s="123"/>
      <c r="R130" s="86"/>
      <c r="S130" s="86"/>
      <c r="T130" s="86"/>
      <c r="U130" s="154"/>
      <c r="V130" s="86"/>
      <c r="W130" s="86"/>
      <c r="X130" s="86"/>
      <c r="Y130" s="86"/>
    </row>
    <row r="131" spans="1:25" ht="14.1" customHeight="1" x14ac:dyDescent="0.2">
      <c r="A131" s="112"/>
      <c r="B131" s="112"/>
      <c r="C131" s="112"/>
      <c r="D131" s="112"/>
      <c r="E131" s="112"/>
      <c r="F131" s="112"/>
      <c r="G131" s="112"/>
      <c r="H131" s="112"/>
      <c r="I131" s="112"/>
      <c r="J131" s="112"/>
      <c r="K131" s="86"/>
      <c r="L131" s="86"/>
      <c r="M131" s="86"/>
      <c r="N131" s="86"/>
      <c r="O131" s="86"/>
      <c r="P131" s="123"/>
      <c r="Q131" s="123"/>
      <c r="R131" s="86"/>
      <c r="S131" s="86"/>
      <c r="T131" s="86"/>
      <c r="U131" s="154"/>
      <c r="V131" s="86"/>
      <c r="W131" s="86"/>
      <c r="X131" s="86"/>
      <c r="Y131" s="86"/>
    </row>
    <row r="132" spans="1:25" ht="14.1" customHeight="1" x14ac:dyDescent="0.2">
      <c r="A132" s="112"/>
      <c r="B132" s="112"/>
      <c r="C132" s="112"/>
      <c r="D132" s="112"/>
      <c r="E132" s="112"/>
      <c r="F132" s="112"/>
      <c r="G132" s="112"/>
      <c r="H132" s="112"/>
      <c r="I132" s="112"/>
      <c r="J132" s="112"/>
      <c r="K132" s="86"/>
      <c r="L132" s="86"/>
      <c r="M132" s="86"/>
      <c r="N132" s="86"/>
      <c r="O132" s="86"/>
      <c r="P132" s="123"/>
      <c r="Q132" s="123"/>
      <c r="R132" s="86"/>
      <c r="S132" s="86"/>
      <c r="T132" s="86"/>
      <c r="U132" s="154"/>
      <c r="V132" s="86"/>
      <c r="W132" s="86"/>
      <c r="X132" s="86"/>
      <c r="Y132" s="86"/>
    </row>
    <row r="133" spans="1:25" ht="14.1" customHeight="1" x14ac:dyDescent="0.2">
      <c r="A133" s="112"/>
      <c r="B133" s="112"/>
      <c r="C133" s="112"/>
      <c r="D133" s="112"/>
      <c r="E133" s="112"/>
      <c r="F133" s="112"/>
      <c r="G133" s="112"/>
      <c r="H133" s="112"/>
      <c r="I133" s="112"/>
      <c r="J133" s="112"/>
      <c r="K133" s="86"/>
      <c r="L133" s="86"/>
      <c r="M133" s="86"/>
      <c r="N133" s="86"/>
      <c r="O133" s="86"/>
      <c r="P133" s="123"/>
      <c r="Q133" s="123"/>
      <c r="R133" s="86"/>
      <c r="S133" s="86"/>
      <c r="T133" s="86"/>
      <c r="U133" s="154"/>
      <c r="V133" s="86"/>
      <c r="W133" s="86"/>
      <c r="X133" s="86"/>
      <c r="Y133" s="86"/>
    </row>
    <row r="134" spans="1:25" ht="14.1" customHeight="1" x14ac:dyDescent="0.2">
      <c r="A134" s="112"/>
      <c r="B134" s="112"/>
      <c r="C134" s="112"/>
      <c r="D134" s="112"/>
      <c r="E134" s="112"/>
      <c r="F134" s="112"/>
      <c r="G134" s="112"/>
      <c r="H134" s="112"/>
      <c r="I134" s="112"/>
      <c r="J134" s="112"/>
      <c r="K134" s="86"/>
      <c r="L134" s="86"/>
      <c r="M134" s="86"/>
      <c r="N134" s="86"/>
      <c r="O134" s="86"/>
      <c r="P134" s="123"/>
      <c r="Q134" s="123"/>
      <c r="R134" s="86"/>
      <c r="S134" s="86"/>
      <c r="T134" s="86"/>
      <c r="U134" s="154"/>
      <c r="V134" s="86"/>
      <c r="W134" s="86"/>
      <c r="X134" s="86"/>
      <c r="Y134" s="86"/>
    </row>
    <row r="135" spans="1:25" ht="14.1" customHeight="1" x14ac:dyDescent="0.2">
      <c r="A135" s="112"/>
      <c r="B135" s="112"/>
      <c r="C135" s="112"/>
      <c r="D135" s="112"/>
      <c r="E135" s="112"/>
      <c r="F135" s="112"/>
      <c r="G135" s="112"/>
      <c r="H135" s="112"/>
      <c r="I135" s="112"/>
      <c r="J135" s="112"/>
      <c r="K135" s="86"/>
      <c r="L135" s="86"/>
      <c r="M135" s="86"/>
      <c r="N135" s="86"/>
      <c r="O135" s="86"/>
      <c r="P135" s="123"/>
      <c r="Q135" s="123"/>
      <c r="R135" s="86"/>
      <c r="S135" s="86"/>
      <c r="T135" s="86"/>
      <c r="U135" s="154"/>
      <c r="V135" s="86"/>
      <c r="W135" s="86"/>
      <c r="X135" s="86"/>
      <c r="Y135" s="86"/>
    </row>
    <row r="136" spans="1:25" ht="14.1" customHeight="1" x14ac:dyDescent="0.2">
      <c r="A136" s="112"/>
      <c r="B136" s="112"/>
      <c r="C136" s="112"/>
      <c r="D136" s="112"/>
      <c r="E136" s="112"/>
      <c r="F136" s="112"/>
      <c r="G136" s="112"/>
      <c r="H136" s="112"/>
      <c r="I136" s="112"/>
      <c r="J136" s="112"/>
      <c r="K136" s="86"/>
      <c r="L136" s="86"/>
      <c r="M136" s="86"/>
      <c r="N136" s="86"/>
      <c r="O136" s="86"/>
      <c r="P136" s="123"/>
      <c r="Q136" s="123"/>
      <c r="R136" s="86"/>
      <c r="S136" s="86"/>
      <c r="T136" s="86"/>
      <c r="U136" s="154"/>
      <c r="V136" s="86"/>
      <c r="W136" s="86"/>
      <c r="X136" s="86"/>
      <c r="Y136" s="86"/>
    </row>
    <row r="137" spans="1:25" ht="14.1" customHeight="1" x14ac:dyDescent="0.2">
      <c r="A137" s="112"/>
      <c r="B137" s="112"/>
      <c r="C137" s="112"/>
      <c r="D137" s="112"/>
      <c r="E137" s="112"/>
      <c r="F137" s="112"/>
      <c r="G137" s="112"/>
      <c r="H137" s="112"/>
      <c r="I137" s="112"/>
      <c r="J137" s="112"/>
      <c r="K137" s="86"/>
      <c r="L137" s="86"/>
      <c r="M137" s="86"/>
      <c r="N137" s="86"/>
      <c r="O137" s="86"/>
      <c r="P137" s="123"/>
      <c r="Q137" s="123"/>
      <c r="R137" s="86"/>
      <c r="S137" s="86"/>
      <c r="T137" s="86"/>
      <c r="U137" s="154"/>
      <c r="V137" s="86"/>
      <c r="W137" s="86"/>
      <c r="X137" s="86"/>
      <c r="Y137" s="86"/>
    </row>
    <row r="138" spans="1:25" ht="14.1" customHeight="1" x14ac:dyDescent="0.2">
      <c r="A138" s="112"/>
      <c r="B138" s="112"/>
      <c r="C138" s="112"/>
      <c r="D138" s="112"/>
      <c r="E138" s="112"/>
      <c r="F138" s="112"/>
      <c r="G138" s="112"/>
      <c r="H138" s="112"/>
      <c r="I138" s="112"/>
      <c r="J138" s="112"/>
      <c r="K138" s="86"/>
      <c r="L138" s="86"/>
      <c r="M138" s="86"/>
      <c r="N138" s="86"/>
      <c r="O138" s="86"/>
      <c r="P138" s="123"/>
      <c r="Q138" s="123"/>
      <c r="R138" s="86"/>
      <c r="S138" s="86"/>
      <c r="T138" s="86"/>
      <c r="U138" s="154"/>
      <c r="V138" s="86"/>
      <c r="W138" s="86"/>
      <c r="X138" s="86"/>
      <c r="Y138" s="86"/>
    </row>
    <row r="139" spans="1:25" ht="14.1" customHeight="1" x14ac:dyDescent="0.2">
      <c r="A139" s="112"/>
      <c r="B139" s="112"/>
      <c r="C139" s="112"/>
      <c r="D139" s="112"/>
      <c r="E139" s="112"/>
      <c r="F139" s="112"/>
      <c r="G139" s="112"/>
      <c r="H139" s="112"/>
      <c r="I139" s="112"/>
      <c r="J139" s="112"/>
      <c r="K139" s="86"/>
      <c r="L139" s="86"/>
      <c r="M139" s="86"/>
      <c r="N139" s="86"/>
      <c r="O139" s="86"/>
      <c r="P139" s="123"/>
      <c r="Q139" s="123"/>
      <c r="R139" s="86"/>
      <c r="S139" s="86"/>
      <c r="T139" s="86"/>
      <c r="U139" s="154"/>
      <c r="V139" s="86"/>
      <c r="W139" s="86"/>
      <c r="X139" s="86"/>
      <c r="Y139" s="86"/>
    </row>
    <row r="140" spans="1:25" ht="14.1" customHeight="1" x14ac:dyDescent="0.2">
      <c r="A140" s="112"/>
      <c r="B140" s="112"/>
      <c r="C140" s="112"/>
      <c r="D140" s="112"/>
      <c r="E140" s="112"/>
      <c r="F140" s="112"/>
      <c r="G140" s="112"/>
      <c r="H140" s="112"/>
      <c r="I140" s="112"/>
      <c r="J140" s="112"/>
      <c r="K140" s="86"/>
      <c r="L140" s="86"/>
      <c r="M140" s="86"/>
      <c r="N140" s="86"/>
      <c r="O140" s="86"/>
      <c r="P140" s="123"/>
      <c r="Q140" s="123"/>
      <c r="R140" s="86"/>
      <c r="S140" s="86"/>
      <c r="T140" s="86"/>
      <c r="U140" s="154"/>
      <c r="V140" s="86"/>
      <c r="W140" s="86"/>
      <c r="X140" s="86"/>
      <c r="Y140" s="86"/>
    </row>
    <row r="141" spans="1:25" ht="14.1" customHeight="1" x14ac:dyDescent="0.2">
      <c r="A141" s="112"/>
      <c r="B141" s="112"/>
      <c r="C141" s="112"/>
      <c r="D141" s="112"/>
      <c r="E141" s="112"/>
      <c r="F141" s="112"/>
      <c r="G141" s="112"/>
      <c r="H141" s="112"/>
      <c r="I141" s="112"/>
      <c r="J141" s="112"/>
      <c r="K141" s="86"/>
      <c r="L141" s="86"/>
      <c r="M141" s="86"/>
      <c r="N141" s="86"/>
      <c r="O141" s="86"/>
      <c r="P141" s="123"/>
      <c r="Q141" s="123"/>
      <c r="R141" s="86"/>
      <c r="S141" s="86"/>
      <c r="T141" s="86"/>
      <c r="U141" s="154"/>
      <c r="V141" s="86"/>
      <c r="W141" s="86"/>
      <c r="X141" s="86"/>
      <c r="Y141" s="86"/>
    </row>
    <row r="142" spans="1:25" ht="14.1" customHeight="1" x14ac:dyDescent="0.2">
      <c r="A142" s="112"/>
      <c r="B142" s="112"/>
      <c r="C142" s="112"/>
      <c r="D142" s="112"/>
      <c r="E142" s="112"/>
      <c r="F142" s="112"/>
      <c r="G142" s="112"/>
      <c r="H142" s="112"/>
      <c r="I142" s="112"/>
      <c r="J142" s="112"/>
      <c r="K142" s="86"/>
      <c r="L142" s="86"/>
      <c r="M142" s="86"/>
      <c r="N142" s="86"/>
      <c r="O142" s="86"/>
      <c r="P142" s="123"/>
      <c r="Q142" s="123"/>
      <c r="R142" s="86"/>
      <c r="S142" s="86"/>
      <c r="T142" s="86"/>
      <c r="U142" s="154"/>
      <c r="V142" s="86"/>
      <c r="W142" s="86"/>
      <c r="X142" s="86"/>
      <c r="Y142" s="86"/>
    </row>
    <row r="143" spans="1:25" ht="14.1" customHeight="1" x14ac:dyDescent="0.2">
      <c r="A143" s="112"/>
      <c r="B143" s="112"/>
      <c r="C143" s="112"/>
      <c r="D143" s="112"/>
      <c r="E143" s="112"/>
      <c r="F143" s="112"/>
      <c r="G143" s="112"/>
      <c r="H143" s="112"/>
      <c r="I143" s="112"/>
      <c r="J143" s="112"/>
      <c r="K143" s="86"/>
      <c r="L143" s="86"/>
      <c r="M143" s="86"/>
      <c r="N143" s="86"/>
      <c r="O143" s="86"/>
      <c r="P143" s="123"/>
      <c r="Q143" s="123"/>
      <c r="R143" s="86"/>
      <c r="S143" s="86"/>
      <c r="T143" s="86"/>
      <c r="U143" s="154"/>
      <c r="V143" s="86"/>
      <c r="W143" s="86"/>
      <c r="X143" s="86"/>
      <c r="Y143" s="86"/>
    </row>
    <row r="144" spans="1:25" ht="14.1" customHeight="1" x14ac:dyDescent="0.2">
      <c r="A144" s="112"/>
      <c r="B144" s="112"/>
      <c r="C144" s="112"/>
      <c r="D144" s="112"/>
      <c r="E144" s="112"/>
      <c r="F144" s="112"/>
      <c r="G144" s="112"/>
      <c r="H144" s="112"/>
      <c r="I144" s="112"/>
      <c r="J144" s="112"/>
      <c r="K144" s="86"/>
      <c r="L144" s="86"/>
      <c r="M144" s="86"/>
      <c r="N144" s="86"/>
      <c r="O144" s="86"/>
      <c r="P144" s="123"/>
      <c r="Q144" s="123"/>
      <c r="R144" s="86"/>
      <c r="S144" s="86"/>
      <c r="T144" s="86"/>
      <c r="U144" s="154"/>
      <c r="V144" s="86"/>
      <c r="W144" s="86"/>
      <c r="X144" s="86"/>
      <c r="Y144" s="86"/>
    </row>
    <row r="145" spans="1:25" ht="14.1" customHeight="1" x14ac:dyDescent="0.2">
      <c r="A145" s="112"/>
      <c r="B145" s="112"/>
      <c r="C145" s="112"/>
      <c r="D145" s="112"/>
      <c r="E145" s="112"/>
      <c r="F145" s="112"/>
      <c r="G145" s="112"/>
      <c r="H145" s="112"/>
      <c r="I145" s="112"/>
      <c r="J145" s="112"/>
      <c r="K145" s="86"/>
      <c r="L145" s="86"/>
      <c r="M145" s="86"/>
      <c r="N145" s="86"/>
      <c r="O145" s="86"/>
      <c r="P145" s="123"/>
      <c r="Q145" s="123"/>
      <c r="R145" s="86"/>
      <c r="S145" s="86"/>
      <c r="T145" s="86"/>
      <c r="U145" s="154"/>
      <c r="V145" s="86"/>
      <c r="W145" s="86"/>
      <c r="X145" s="86"/>
      <c r="Y145" s="86"/>
    </row>
    <row r="146" spans="1:25" ht="14.1" customHeight="1" x14ac:dyDescent="0.2">
      <c r="A146" s="112"/>
      <c r="B146" s="112"/>
      <c r="C146" s="112"/>
      <c r="D146" s="112"/>
      <c r="E146" s="112"/>
      <c r="F146" s="112"/>
      <c r="G146" s="112"/>
      <c r="H146" s="112"/>
      <c r="I146" s="112"/>
      <c r="J146" s="112"/>
      <c r="K146" s="86"/>
      <c r="L146" s="86"/>
      <c r="M146" s="86"/>
      <c r="N146" s="86"/>
      <c r="O146" s="86"/>
      <c r="P146" s="123"/>
      <c r="Q146" s="123"/>
      <c r="R146" s="86"/>
      <c r="S146" s="86"/>
      <c r="T146" s="86"/>
      <c r="U146" s="154"/>
      <c r="V146" s="86"/>
      <c r="W146" s="86"/>
      <c r="X146" s="86"/>
      <c r="Y146" s="86"/>
    </row>
    <row r="147" spans="1:25" ht="14.1" customHeight="1" x14ac:dyDescent="0.2">
      <c r="A147" s="112"/>
      <c r="B147" s="112"/>
      <c r="C147" s="112"/>
      <c r="D147" s="112"/>
      <c r="E147" s="112"/>
      <c r="F147" s="112"/>
      <c r="G147" s="112"/>
      <c r="H147" s="112"/>
      <c r="I147" s="112"/>
      <c r="J147" s="112"/>
      <c r="K147" s="86"/>
      <c r="L147" s="86"/>
      <c r="M147" s="86"/>
      <c r="N147" s="86"/>
      <c r="O147" s="86"/>
      <c r="P147" s="123"/>
      <c r="Q147" s="123"/>
      <c r="R147" s="86"/>
      <c r="S147" s="86"/>
      <c r="T147" s="86"/>
      <c r="U147" s="154"/>
      <c r="V147" s="86"/>
      <c r="W147" s="86"/>
      <c r="X147" s="86"/>
      <c r="Y147" s="86"/>
    </row>
    <row r="148" spans="1:25" ht="14.1" customHeight="1" x14ac:dyDescent="0.2">
      <c r="A148" s="112"/>
      <c r="B148" s="112"/>
      <c r="C148" s="112"/>
      <c r="D148" s="112"/>
      <c r="E148" s="112"/>
      <c r="F148" s="112"/>
      <c r="G148" s="112"/>
      <c r="H148" s="112"/>
      <c r="I148" s="112"/>
      <c r="J148" s="112"/>
      <c r="K148" s="86"/>
      <c r="L148" s="86"/>
      <c r="M148" s="86"/>
      <c r="N148" s="86"/>
      <c r="O148" s="86"/>
      <c r="P148" s="123"/>
      <c r="Q148" s="123"/>
      <c r="R148" s="86"/>
      <c r="S148" s="86"/>
      <c r="T148" s="86"/>
      <c r="U148" s="154"/>
      <c r="V148" s="86"/>
      <c r="W148" s="86"/>
      <c r="X148" s="86"/>
      <c r="Y148" s="86"/>
    </row>
    <row r="149" spans="1:25" ht="14.1" customHeight="1" x14ac:dyDescent="0.2">
      <c r="A149" s="112"/>
      <c r="B149" s="112"/>
      <c r="C149" s="112"/>
      <c r="D149" s="112"/>
      <c r="E149" s="112"/>
      <c r="F149" s="112"/>
      <c r="G149" s="112"/>
      <c r="H149" s="112"/>
      <c r="I149" s="112"/>
      <c r="J149" s="112"/>
      <c r="K149" s="86"/>
      <c r="L149" s="86"/>
      <c r="M149" s="86"/>
      <c r="N149" s="86"/>
      <c r="O149" s="86"/>
      <c r="P149" s="123"/>
      <c r="Q149" s="123"/>
      <c r="R149" s="86"/>
      <c r="S149" s="86"/>
      <c r="T149" s="86"/>
      <c r="U149" s="154"/>
      <c r="V149" s="86"/>
      <c r="W149" s="86"/>
      <c r="X149" s="86"/>
      <c r="Y149" s="86"/>
    </row>
    <row r="150" spans="1:25" ht="14.1" customHeight="1" x14ac:dyDescent="0.2">
      <c r="A150" s="112"/>
      <c r="B150" s="112"/>
      <c r="C150" s="112"/>
      <c r="D150" s="112"/>
      <c r="E150" s="112"/>
      <c r="F150" s="112"/>
      <c r="G150" s="112"/>
      <c r="H150" s="112"/>
      <c r="I150" s="112"/>
      <c r="J150" s="112"/>
      <c r="K150" s="86"/>
      <c r="L150" s="86"/>
      <c r="M150" s="86"/>
      <c r="N150" s="86"/>
      <c r="O150" s="86"/>
      <c r="P150" s="123"/>
      <c r="Q150" s="123"/>
      <c r="R150" s="86"/>
      <c r="S150" s="86"/>
      <c r="T150" s="86"/>
      <c r="U150" s="154"/>
      <c r="V150" s="86"/>
      <c r="W150" s="86"/>
      <c r="X150" s="86"/>
      <c r="Y150" s="86"/>
    </row>
    <row r="151" spans="1:25" ht="14.1" customHeight="1" x14ac:dyDescent="0.2">
      <c r="A151" s="112"/>
      <c r="B151" s="112"/>
      <c r="C151" s="112"/>
      <c r="D151" s="112"/>
      <c r="E151" s="112"/>
      <c r="F151" s="112"/>
      <c r="G151" s="112"/>
      <c r="H151" s="112"/>
      <c r="I151" s="112"/>
      <c r="J151" s="112"/>
      <c r="K151" s="86"/>
      <c r="L151" s="86"/>
      <c r="M151" s="86"/>
      <c r="N151" s="86"/>
      <c r="O151" s="86"/>
      <c r="P151" s="123"/>
      <c r="Q151" s="123"/>
      <c r="R151" s="86"/>
      <c r="S151" s="86"/>
      <c r="T151" s="86"/>
      <c r="U151" s="154"/>
      <c r="V151" s="86"/>
      <c r="W151" s="86"/>
      <c r="X151" s="86"/>
      <c r="Y151" s="86"/>
    </row>
    <row r="152" spans="1:25" ht="14.1" customHeight="1" x14ac:dyDescent="0.2">
      <c r="A152" s="112"/>
      <c r="B152" s="112"/>
      <c r="C152" s="112"/>
      <c r="D152" s="112"/>
      <c r="E152" s="112"/>
      <c r="F152" s="112"/>
      <c r="G152" s="112"/>
      <c r="H152" s="112"/>
      <c r="I152" s="112"/>
      <c r="J152" s="112"/>
      <c r="K152" s="86"/>
      <c r="L152" s="86"/>
      <c r="M152" s="86"/>
      <c r="N152" s="86"/>
      <c r="O152" s="86"/>
      <c r="P152" s="123"/>
      <c r="Q152" s="123"/>
      <c r="R152" s="86"/>
      <c r="S152" s="86"/>
      <c r="T152" s="86"/>
      <c r="U152" s="154"/>
      <c r="V152" s="86"/>
      <c r="W152" s="86"/>
      <c r="X152" s="86"/>
      <c r="Y152" s="86"/>
    </row>
    <row r="153" spans="1:25" ht="14.1" customHeight="1" x14ac:dyDescent="0.2">
      <c r="A153" s="112"/>
      <c r="B153" s="112"/>
      <c r="C153" s="112"/>
      <c r="D153" s="112"/>
      <c r="E153" s="112"/>
      <c r="F153" s="112"/>
      <c r="G153" s="112"/>
      <c r="H153" s="112"/>
      <c r="I153" s="112"/>
      <c r="J153" s="112"/>
      <c r="K153" s="86"/>
      <c r="L153" s="86"/>
      <c r="M153" s="86"/>
      <c r="N153" s="86"/>
      <c r="O153" s="86"/>
      <c r="P153" s="123"/>
      <c r="Q153" s="123"/>
      <c r="R153" s="86"/>
      <c r="S153" s="86"/>
      <c r="T153" s="86"/>
      <c r="U153" s="154"/>
      <c r="V153" s="86"/>
      <c r="W153" s="86"/>
      <c r="X153" s="86"/>
      <c r="Y153" s="86"/>
    </row>
    <row r="154" spans="1:25" ht="14.1" customHeight="1" x14ac:dyDescent="0.2">
      <c r="A154" s="112"/>
      <c r="B154" s="112"/>
      <c r="C154" s="112"/>
      <c r="D154" s="112"/>
      <c r="E154" s="112"/>
      <c r="F154" s="112"/>
      <c r="G154" s="112"/>
      <c r="H154" s="112"/>
      <c r="I154" s="112"/>
      <c r="J154" s="112"/>
      <c r="K154" s="86"/>
      <c r="L154" s="86"/>
      <c r="M154" s="86"/>
      <c r="N154" s="86"/>
      <c r="O154" s="86"/>
      <c r="P154" s="123"/>
      <c r="Q154" s="123"/>
      <c r="R154" s="86"/>
      <c r="S154" s="86"/>
      <c r="T154" s="86"/>
      <c r="U154" s="154"/>
      <c r="V154" s="86"/>
      <c r="W154" s="86"/>
      <c r="X154" s="86"/>
      <c r="Y154" s="86"/>
    </row>
    <row r="155" spans="1:25" ht="14.1" customHeight="1" x14ac:dyDescent="0.2">
      <c r="A155" s="112"/>
      <c r="B155" s="112"/>
      <c r="C155" s="112"/>
      <c r="D155" s="112"/>
      <c r="E155" s="112"/>
      <c r="F155" s="112"/>
      <c r="G155" s="112"/>
      <c r="H155" s="112"/>
      <c r="I155" s="112"/>
      <c r="J155" s="112"/>
      <c r="K155" s="86"/>
      <c r="L155" s="86"/>
      <c r="M155" s="86"/>
      <c r="N155" s="86"/>
      <c r="O155" s="86"/>
      <c r="P155" s="123"/>
      <c r="Q155" s="123"/>
      <c r="R155" s="86"/>
      <c r="S155" s="86"/>
      <c r="T155" s="86"/>
      <c r="U155" s="154"/>
      <c r="V155" s="86"/>
      <c r="W155" s="86"/>
      <c r="X155" s="86"/>
      <c r="Y155" s="86"/>
    </row>
    <row r="156" spans="1:25" ht="14.1" customHeight="1" x14ac:dyDescent="0.2">
      <c r="A156" s="112"/>
      <c r="B156" s="112"/>
      <c r="C156" s="112"/>
      <c r="D156" s="112"/>
      <c r="E156" s="112"/>
      <c r="F156" s="112"/>
      <c r="G156" s="112"/>
      <c r="H156" s="112"/>
      <c r="I156" s="112"/>
      <c r="J156" s="112"/>
      <c r="K156" s="86"/>
      <c r="L156" s="86"/>
      <c r="M156" s="86"/>
      <c r="N156" s="86"/>
      <c r="O156" s="86"/>
      <c r="P156" s="123"/>
      <c r="Q156" s="123"/>
      <c r="R156" s="86"/>
      <c r="S156" s="86"/>
      <c r="T156" s="86"/>
      <c r="U156" s="154"/>
      <c r="V156" s="86"/>
      <c r="W156" s="86"/>
      <c r="X156" s="86"/>
      <c r="Y156" s="86"/>
    </row>
    <row r="157" spans="1:25" ht="14.1" customHeight="1" x14ac:dyDescent="0.2">
      <c r="A157" s="112"/>
      <c r="B157" s="112"/>
      <c r="C157" s="112"/>
      <c r="D157" s="112"/>
      <c r="E157" s="112"/>
      <c r="F157" s="112"/>
      <c r="G157" s="112"/>
      <c r="H157" s="112"/>
      <c r="I157" s="112"/>
      <c r="J157" s="112"/>
      <c r="K157" s="86"/>
      <c r="L157" s="86"/>
      <c r="M157" s="86"/>
      <c r="N157" s="86"/>
      <c r="O157" s="86"/>
      <c r="P157" s="123"/>
      <c r="Q157" s="123"/>
      <c r="R157" s="86"/>
      <c r="S157" s="86"/>
      <c r="T157" s="86"/>
      <c r="U157" s="154"/>
      <c r="V157" s="86"/>
      <c r="W157" s="86"/>
      <c r="X157" s="86"/>
      <c r="Y157" s="86"/>
    </row>
    <row r="158" spans="1:25" ht="14.1" customHeight="1" x14ac:dyDescent="0.2">
      <c r="A158" s="112"/>
      <c r="B158" s="112"/>
      <c r="C158" s="112"/>
      <c r="D158" s="112"/>
      <c r="E158" s="112"/>
      <c r="F158" s="112"/>
      <c r="G158" s="112"/>
      <c r="H158" s="112"/>
      <c r="I158" s="112"/>
      <c r="J158" s="112"/>
      <c r="K158" s="86"/>
      <c r="L158" s="86"/>
      <c r="M158" s="86"/>
      <c r="N158" s="86"/>
      <c r="O158" s="86"/>
      <c r="P158" s="123"/>
      <c r="Q158" s="123"/>
      <c r="R158" s="86"/>
      <c r="S158" s="86"/>
      <c r="T158" s="86"/>
      <c r="U158" s="154"/>
      <c r="V158" s="86"/>
      <c r="W158" s="86"/>
      <c r="X158" s="86"/>
      <c r="Y158" s="86"/>
    </row>
    <row r="159" spans="1:25" ht="14.1" customHeight="1" x14ac:dyDescent="0.2">
      <c r="A159" s="112"/>
      <c r="B159" s="112"/>
      <c r="C159" s="112"/>
      <c r="D159" s="112"/>
      <c r="E159" s="112"/>
      <c r="F159" s="112"/>
      <c r="G159" s="112"/>
      <c r="H159" s="112"/>
      <c r="I159" s="112"/>
      <c r="J159" s="112"/>
      <c r="K159" s="86"/>
      <c r="L159" s="86"/>
      <c r="M159" s="86"/>
      <c r="N159" s="86"/>
      <c r="O159" s="86"/>
      <c r="P159" s="123"/>
      <c r="Q159" s="123"/>
      <c r="R159" s="86"/>
      <c r="S159" s="86"/>
      <c r="T159" s="86"/>
      <c r="U159" s="154"/>
      <c r="V159" s="86"/>
      <c r="W159" s="86"/>
      <c r="X159" s="86"/>
      <c r="Y159" s="86"/>
    </row>
    <row r="160" spans="1:25" ht="14.1" customHeight="1" x14ac:dyDescent="0.2">
      <c r="A160" s="112"/>
      <c r="B160" s="112"/>
      <c r="C160" s="112"/>
      <c r="D160" s="112"/>
      <c r="E160" s="112"/>
      <c r="F160" s="112"/>
      <c r="G160" s="112"/>
      <c r="H160" s="112"/>
      <c r="I160" s="112"/>
      <c r="J160" s="112"/>
      <c r="K160" s="86"/>
      <c r="L160" s="86"/>
      <c r="M160" s="86"/>
      <c r="N160" s="86"/>
      <c r="O160" s="86"/>
      <c r="P160" s="123"/>
      <c r="Q160" s="123"/>
      <c r="R160" s="86"/>
      <c r="S160" s="86"/>
      <c r="T160" s="86"/>
      <c r="U160" s="154"/>
      <c r="V160" s="86"/>
      <c r="W160" s="86"/>
      <c r="X160" s="86"/>
      <c r="Y160" s="86"/>
    </row>
    <row r="161" spans="1:25" ht="14.1" customHeight="1" x14ac:dyDescent="0.2">
      <c r="A161" s="112"/>
      <c r="B161" s="112"/>
      <c r="C161" s="112"/>
      <c r="D161" s="112"/>
      <c r="E161" s="112"/>
      <c r="F161" s="112"/>
      <c r="G161" s="112"/>
      <c r="H161" s="112"/>
      <c r="I161" s="112"/>
      <c r="J161" s="112"/>
      <c r="K161" s="86"/>
      <c r="L161" s="86"/>
      <c r="M161" s="86"/>
      <c r="N161" s="86"/>
      <c r="O161" s="86"/>
      <c r="P161" s="123"/>
      <c r="Q161" s="123"/>
      <c r="R161" s="86"/>
      <c r="S161" s="86"/>
      <c r="T161" s="86"/>
      <c r="U161" s="154"/>
      <c r="V161" s="86"/>
      <c r="W161" s="86"/>
      <c r="X161" s="86"/>
      <c r="Y161" s="86"/>
    </row>
    <row r="162" spans="1:25" ht="14.1" customHeight="1" x14ac:dyDescent="0.2">
      <c r="A162" s="112"/>
      <c r="B162" s="112"/>
      <c r="C162" s="112"/>
      <c r="D162" s="112"/>
      <c r="E162" s="112"/>
      <c r="F162" s="112"/>
      <c r="G162" s="112"/>
      <c r="H162" s="112"/>
      <c r="I162" s="112"/>
      <c r="J162" s="112"/>
      <c r="K162" s="86"/>
      <c r="L162" s="86"/>
      <c r="M162" s="86"/>
      <c r="N162" s="86"/>
      <c r="O162" s="86"/>
      <c r="P162" s="123"/>
      <c r="Q162" s="123"/>
      <c r="R162" s="86"/>
      <c r="S162" s="86"/>
      <c r="T162" s="86"/>
      <c r="U162" s="154"/>
      <c r="V162" s="86"/>
      <c r="W162" s="86"/>
      <c r="X162" s="86"/>
      <c r="Y162" s="86"/>
    </row>
    <row r="163" spans="1:25" ht="14.1" customHeight="1" x14ac:dyDescent="0.2">
      <c r="A163" s="112"/>
      <c r="B163" s="112"/>
      <c r="C163" s="112"/>
      <c r="D163" s="112"/>
      <c r="E163" s="112"/>
      <c r="F163" s="112"/>
      <c r="G163" s="112"/>
      <c r="H163" s="112"/>
      <c r="I163" s="112"/>
      <c r="J163" s="112"/>
      <c r="K163" s="86"/>
      <c r="L163" s="86"/>
      <c r="M163" s="86"/>
      <c r="N163" s="86"/>
      <c r="O163" s="86"/>
      <c r="P163" s="123"/>
      <c r="Q163" s="123"/>
      <c r="R163" s="86"/>
      <c r="S163" s="86"/>
      <c r="T163" s="86"/>
      <c r="U163" s="154"/>
      <c r="V163" s="86"/>
      <c r="W163" s="86"/>
      <c r="X163" s="86"/>
      <c r="Y163" s="86"/>
    </row>
    <row r="164" spans="1:25" ht="14.1" customHeight="1" x14ac:dyDescent="0.2">
      <c r="A164" s="112"/>
      <c r="B164" s="112"/>
      <c r="C164" s="112"/>
      <c r="D164" s="112"/>
      <c r="E164" s="112"/>
      <c r="F164" s="112"/>
      <c r="G164" s="112"/>
      <c r="H164" s="112"/>
      <c r="I164" s="112"/>
      <c r="J164" s="112"/>
      <c r="K164" s="86"/>
      <c r="L164" s="86"/>
      <c r="M164" s="86"/>
      <c r="N164" s="86"/>
      <c r="O164" s="86"/>
      <c r="P164" s="123"/>
      <c r="Q164" s="123"/>
      <c r="R164" s="86"/>
      <c r="S164" s="86"/>
      <c r="T164" s="86"/>
      <c r="U164" s="154"/>
      <c r="V164" s="86"/>
      <c r="W164" s="86"/>
      <c r="X164" s="86"/>
      <c r="Y164" s="86"/>
    </row>
    <row r="165" spans="1:25" ht="14.1" customHeight="1" x14ac:dyDescent="0.2">
      <c r="A165" s="112"/>
      <c r="B165" s="112"/>
      <c r="C165" s="112"/>
      <c r="D165" s="112"/>
      <c r="E165" s="112"/>
      <c r="F165" s="112"/>
      <c r="G165" s="112"/>
      <c r="H165" s="112"/>
      <c r="I165" s="112"/>
      <c r="J165" s="112"/>
      <c r="K165" s="86"/>
      <c r="L165" s="86"/>
      <c r="M165" s="86"/>
      <c r="N165" s="86"/>
      <c r="O165" s="86"/>
      <c r="P165" s="123"/>
      <c r="Q165" s="123"/>
      <c r="R165" s="86"/>
      <c r="S165" s="86"/>
      <c r="T165" s="86"/>
      <c r="U165" s="154"/>
      <c r="V165" s="86"/>
      <c r="W165" s="86"/>
      <c r="X165" s="86"/>
      <c r="Y165" s="86"/>
    </row>
    <row r="166" spans="1:25" ht="14.1" customHeight="1" x14ac:dyDescent="0.2">
      <c r="A166" s="112"/>
      <c r="B166" s="112"/>
      <c r="C166" s="112"/>
      <c r="D166" s="112"/>
      <c r="E166" s="112"/>
      <c r="F166" s="112"/>
      <c r="G166" s="112"/>
      <c r="H166" s="112"/>
      <c r="I166" s="112"/>
      <c r="J166" s="112"/>
      <c r="K166" s="86"/>
      <c r="L166" s="86"/>
      <c r="M166" s="86"/>
      <c r="N166" s="86"/>
      <c r="O166" s="86"/>
      <c r="P166" s="123"/>
      <c r="Q166" s="123"/>
      <c r="R166" s="86"/>
      <c r="S166" s="86"/>
      <c r="T166" s="86"/>
      <c r="U166" s="154"/>
      <c r="V166" s="86"/>
      <c r="W166" s="86"/>
      <c r="X166" s="86"/>
      <c r="Y166" s="86"/>
    </row>
    <row r="167" spans="1:25" ht="14.1" customHeight="1" x14ac:dyDescent="0.2">
      <c r="A167" s="112"/>
      <c r="B167" s="112"/>
      <c r="C167" s="112"/>
      <c r="D167" s="112"/>
      <c r="E167" s="112"/>
      <c r="F167" s="112"/>
      <c r="G167" s="112"/>
      <c r="H167" s="112"/>
      <c r="I167" s="112"/>
      <c r="J167" s="112"/>
      <c r="K167" s="86"/>
      <c r="L167" s="86"/>
      <c r="M167" s="86"/>
      <c r="N167" s="86"/>
      <c r="O167" s="86"/>
      <c r="P167" s="123"/>
      <c r="Q167" s="123"/>
      <c r="R167" s="86"/>
      <c r="S167" s="86"/>
      <c r="T167" s="86"/>
      <c r="U167" s="154"/>
      <c r="V167" s="86"/>
      <c r="W167" s="86"/>
      <c r="X167" s="86"/>
      <c r="Y167" s="86"/>
    </row>
    <row r="168" spans="1:25" ht="14.1" customHeight="1" x14ac:dyDescent="0.2">
      <c r="A168" s="112"/>
      <c r="B168" s="112"/>
      <c r="C168" s="112"/>
      <c r="D168" s="112"/>
      <c r="E168" s="112"/>
      <c r="F168" s="112"/>
      <c r="G168" s="112"/>
      <c r="H168" s="112"/>
      <c r="I168" s="112"/>
      <c r="J168" s="112"/>
      <c r="K168" s="86"/>
      <c r="L168" s="86"/>
      <c r="M168" s="86"/>
      <c r="N168" s="86"/>
      <c r="O168" s="86"/>
      <c r="P168" s="123"/>
      <c r="Q168" s="123"/>
      <c r="R168" s="86"/>
      <c r="S168" s="86"/>
      <c r="T168" s="86"/>
      <c r="U168" s="154"/>
      <c r="V168" s="86"/>
      <c r="W168" s="86"/>
      <c r="X168" s="86"/>
      <c r="Y168" s="86"/>
    </row>
    <row r="169" spans="1:25" ht="14.1" customHeight="1" x14ac:dyDescent="0.2">
      <c r="A169" s="112"/>
      <c r="B169" s="112"/>
      <c r="C169" s="112"/>
      <c r="D169" s="112"/>
      <c r="E169" s="112"/>
      <c r="F169" s="112"/>
      <c r="G169" s="112"/>
      <c r="H169" s="112"/>
      <c r="I169" s="112"/>
      <c r="J169" s="112"/>
      <c r="K169" s="86"/>
      <c r="L169" s="86"/>
      <c r="M169" s="86"/>
      <c r="N169" s="86"/>
      <c r="O169" s="86"/>
      <c r="P169" s="123"/>
      <c r="Q169" s="123"/>
      <c r="R169" s="86"/>
      <c r="S169" s="86"/>
      <c r="T169" s="86"/>
      <c r="U169" s="154"/>
      <c r="V169" s="86"/>
      <c r="W169" s="86"/>
      <c r="X169" s="86"/>
      <c r="Y169" s="86"/>
    </row>
  </sheetData>
  <mergeCells count="61">
    <mergeCell ref="A1:J2"/>
    <mergeCell ref="A4:B4"/>
    <mergeCell ref="A5:B5"/>
    <mergeCell ref="P56:Q58"/>
    <mergeCell ref="P79:Q80"/>
    <mergeCell ref="H79:I80"/>
    <mergeCell ref="D52:G60"/>
    <mergeCell ref="D79:G84"/>
    <mergeCell ref="P61:Q61"/>
    <mergeCell ref="P67:Q67"/>
    <mergeCell ref="P68:Q68"/>
    <mergeCell ref="P73:Q73"/>
    <mergeCell ref="P74:Q74"/>
    <mergeCell ref="D20:G21"/>
    <mergeCell ref="D61:G66"/>
    <mergeCell ref="D73:G78"/>
    <mergeCell ref="D67:G72"/>
    <mergeCell ref="D46:G51"/>
    <mergeCell ref="D22:G30"/>
    <mergeCell ref="D31:G38"/>
    <mergeCell ref="D39:G45"/>
    <mergeCell ref="V20:Y20"/>
    <mergeCell ref="A11:B11"/>
    <mergeCell ref="J20:J21"/>
    <mergeCell ref="A20:C21"/>
    <mergeCell ref="U20:U21"/>
    <mergeCell ref="O20:O21"/>
    <mergeCell ref="R20:R21"/>
    <mergeCell ref="H20:I21"/>
    <mergeCell ref="L10:N18"/>
    <mergeCell ref="T11:X15"/>
    <mergeCell ref="C4:F4"/>
    <mergeCell ref="G4:J4"/>
    <mergeCell ref="S20:T21"/>
    <mergeCell ref="A12:B12"/>
    <mergeCell ref="P20:Q21"/>
    <mergeCell ref="K20:N20"/>
    <mergeCell ref="L4:N8"/>
    <mergeCell ref="T6:U6"/>
    <mergeCell ref="T7:U7"/>
    <mergeCell ref="T8:U8"/>
    <mergeCell ref="P22:Q23"/>
    <mergeCell ref="H34:I34"/>
    <mergeCell ref="H46:I46"/>
    <mergeCell ref="H32:I32"/>
    <mergeCell ref="H23:I23"/>
    <mergeCell ref="P31:Q31"/>
    <mergeCell ref="P32:Q32"/>
    <mergeCell ref="P33:Q33"/>
    <mergeCell ref="P34:Q34"/>
    <mergeCell ref="P46:Q46"/>
    <mergeCell ref="H73:I73"/>
    <mergeCell ref="H52:I52"/>
    <mergeCell ref="H68:I68"/>
    <mergeCell ref="H54:I54"/>
    <mergeCell ref="H33:I33"/>
    <mergeCell ref="P47:Q47"/>
    <mergeCell ref="P52:Q52"/>
    <mergeCell ref="P53:Q53"/>
    <mergeCell ref="P54:Q54"/>
    <mergeCell ref="P55:Q55"/>
  </mergeCells>
  <phoneticPr fontId="5" type="noConversion"/>
  <pageMargins left="0.70866141732283472" right="0.70866141732283472" top="0.74803149606299213" bottom="0.74803149606299213" header="0.31496062992125984" footer="0.31496062992125984"/>
  <pageSetup paperSize="9" scale="18" orientation="landscape" r:id="rId1"/>
  <headerFooter>
    <oddHeader>&amp;L&amp;F&amp;R&amp;A</oddHeader>
    <oddFooter>&amp;L&amp;D&amp;RPagina &amp;P van &amp;N</oddFooter>
  </headerFooter>
  <ignoredErrors>
    <ignoredError sqref="V79:Y79"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3511-754F-4292-B900-64C2AB797ECE}">
  <sheetPr>
    <tabColor theme="6"/>
    <pageSetUpPr fitToPage="1"/>
  </sheetPr>
  <dimension ref="A1:AC98"/>
  <sheetViews>
    <sheetView zoomScaleNormal="100" workbookViewId="0"/>
  </sheetViews>
  <sheetFormatPr defaultColWidth="9.09765625" defaultRowHeight="14.1" customHeight="1" x14ac:dyDescent="0.15"/>
  <cols>
    <col min="1" max="8" width="12.09765625" style="3" customWidth="1"/>
    <col min="9" max="10" width="12.09765625" style="112" customWidth="1"/>
    <col min="11" max="14" width="12.09765625" style="86" customWidth="1"/>
    <col min="15" max="16" width="19.59765625" style="123" customWidth="1"/>
    <col min="17" max="17" width="12.59765625" style="86" customWidth="1"/>
    <col min="18" max="18" width="13.09765625" style="86" customWidth="1"/>
    <col min="19" max="21" width="12.59765625" style="86" customWidth="1"/>
    <col min="22" max="23" width="12.59765625" style="8" customWidth="1"/>
    <col min="24" max="16384" width="9.09765625" style="3"/>
  </cols>
  <sheetData>
    <row r="1" spans="1:25" s="488" customFormat="1" ht="14.1" customHeight="1" x14ac:dyDescent="0.25">
      <c r="A1" s="605" t="str" cm="1">
        <f t="array" aca="1" ref="A1" ca="1">MID(CELL("bestandsnaam",$A$1),FIND("]",CELL("bestandsnaam",$A$1))+1,31)</f>
        <v>6. Plantenkartering</v>
      </c>
      <c r="B1" s="605"/>
      <c r="C1" s="605"/>
      <c r="D1" s="605"/>
      <c r="E1" s="605"/>
      <c r="F1" s="605"/>
      <c r="G1" s="605"/>
      <c r="H1" s="605"/>
      <c r="I1" s="605"/>
      <c r="J1" s="605"/>
      <c r="K1" s="489"/>
      <c r="L1" s="489"/>
      <c r="M1" s="489"/>
      <c r="N1" s="489"/>
      <c r="O1" s="490"/>
      <c r="P1" s="490"/>
      <c r="Q1" s="489"/>
      <c r="R1" s="489"/>
      <c r="S1" s="489"/>
      <c r="T1" s="489"/>
      <c r="U1" s="489"/>
      <c r="V1" s="486"/>
      <c r="W1" s="486"/>
    </row>
    <row r="2" spans="1:25" s="488" customFormat="1" ht="14.1" customHeight="1" x14ac:dyDescent="0.25">
      <c r="A2" s="605"/>
      <c r="B2" s="605"/>
      <c r="C2" s="605"/>
      <c r="D2" s="605"/>
      <c r="E2" s="605"/>
      <c r="F2" s="605"/>
      <c r="G2" s="605"/>
      <c r="H2" s="605"/>
      <c r="I2" s="605"/>
      <c r="J2" s="605"/>
      <c r="K2" s="489"/>
      <c r="L2" s="489"/>
      <c r="M2" s="489"/>
      <c r="N2" s="489"/>
      <c r="O2" s="490"/>
      <c r="P2" s="490"/>
      <c r="Q2" s="489"/>
      <c r="R2" s="489"/>
      <c r="S2" s="489"/>
      <c r="T2" s="489"/>
      <c r="U2" s="489"/>
      <c r="V2" s="486"/>
      <c r="W2" s="486"/>
    </row>
    <row r="3" spans="1:25" ht="14.1" customHeight="1" x14ac:dyDescent="0.15">
      <c r="A3" s="525" t="s">
        <v>237</v>
      </c>
      <c r="B3" s="61"/>
      <c r="C3" s="61"/>
      <c r="D3" s="60"/>
      <c r="E3" s="60"/>
      <c r="F3" s="60"/>
      <c r="G3" s="60"/>
      <c r="H3" s="61"/>
      <c r="I3" s="61"/>
      <c r="J3" s="61"/>
      <c r="K3" s="83"/>
      <c r="L3" s="83"/>
      <c r="M3" s="83"/>
      <c r="N3" s="83"/>
      <c r="O3" s="120"/>
      <c r="P3" s="120"/>
      <c r="Q3" s="83"/>
      <c r="R3" s="83"/>
      <c r="S3" s="83"/>
      <c r="T3" s="83"/>
      <c r="U3" s="83"/>
      <c r="V3" s="62"/>
      <c r="W3" s="62"/>
    </row>
    <row r="4" spans="1:25" ht="14.1" customHeight="1" x14ac:dyDescent="0.15">
      <c r="A4" s="845" t="s">
        <v>219</v>
      </c>
      <c r="B4" s="846"/>
      <c r="C4" s="856" t="s">
        <v>28</v>
      </c>
      <c r="D4" s="857"/>
      <c r="E4" s="857"/>
      <c r="F4" s="856" t="s">
        <v>29</v>
      </c>
      <c r="G4" s="857"/>
      <c r="H4" s="858"/>
      <c r="I4" s="61"/>
      <c r="J4" s="755" t="s">
        <v>304</v>
      </c>
      <c r="K4" s="756"/>
      <c r="L4" s="757"/>
      <c r="M4" s="120"/>
      <c r="N4" s="565" t="s">
        <v>305</v>
      </c>
      <c r="O4" s="569"/>
      <c r="P4" s="569"/>
      <c r="Q4" s="552"/>
      <c r="R4" s="566" t="s">
        <v>306</v>
      </c>
      <c r="S4" s="561"/>
      <c r="T4" s="561"/>
      <c r="U4" s="561"/>
      <c r="V4" s="561"/>
      <c r="W4" s="553"/>
      <c r="X4" s="83"/>
      <c r="Y4" s="83"/>
    </row>
    <row r="5" spans="1:25" ht="14.1" customHeight="1" x14ac:dyDescent="0.15">
      <c r="A5" s="576"/>
      <c r="B5" s="577"/>
      <c r="C5" s="107" t="s">
        <v>220</v>
      </c>
      <c r="D5" s="108" t="s">
        <v>221</v>
      </c>
      <c r="E5" s="108" t="s">
        <v>222</v>
      </c>
      <c r="F5" s="107" t="s">
        <v>220</v>
      </c>
      <c r="G5" s="108" t="s">
        <v>221</v>
      </c>
      <c r="H5" s="108" t="s">
        <v>222</v>
      </c>
      <c r="I5" s="61"/>
      <c r="J5" s="758"/>
      <c r="K5" s="759"/>
      <c r="L5" s="760"/>
      <c r="M5" s="120"/>
      <c r="N5" s="554"/>
      <c r="O5" s="549"/>
      <c r="P5" s="549"/>
      <c r="Q5" s="549"/>
      <c r="R5" s="547"/>
      <c r="S5" s="572"/>
      <c r="T5" s="573" t="s">
        <v>242</v>
      </c>
      <c r="U5" s="573" t="s">
        <v>221</v>
      </c>
      <c r="V5" s="573" t="s">
        <v>222</v>
      </c>
      <c r="W5" s="555"/>
      <c r="X5" s="83"/>
      <c r="Y5" s="83"/>
    </row>
    <row r="6" spans="1:25" ht="14.1" customHeight="1" x14ac:dyDescent="0.15">
      <c r="A6" s="526" t="s">
        <v>243</v>
      </c>
      <c r="B6" s="81" t="s">
        <v>244</v>
      </c>
      <c r="C6" s="167">
        <f>SUM($U$31,$U$61,$U$62)</f>
        <v>3.9531755347943278</v>
      </c>
      <c r="D6" s="167">
        <f>SUM($V$31,$V$61,$V$62)</f>
        <v>3.5556406199007085</v>
      </c>
      <c r="E6" s="167">
        <f>SUM($W$31,$W$61,$W$62)</f>
        <v>3.4452142546524831</v>
      </c>
      <c r="F6" s="167">
        <f>SUM($U$31,$U$61,$U$62)</f>
        <v>3.9531755347943278</v>
      </c>
      <c r="G6" s="167">
        <f>SUM($V$31,$V$61,$V$62)</f>
        <v>3.5556406199007085</v>
      </c>
      <c r="H6" s="168">
        <f>SUM($W$31,$W$61,$W$62)</f>
        <v>3.4452142546524831</v>
      </c>
      <c r="I6" s="61"/>
      <c r="J6" s="758"/>
      <c r="K6" s="759"/>
      <c r="L6" s="760"/>
      <c r="M6" s="120"/>
      <c r="N6" s="554"/>
      <c r="O6" s="549"/>
      <c r="P6" s="549"/>
      <c r="Q6" s="549"/>
      <c r="R6" s="764" t="s">
        <v>245</v>
      </c>
      <c r="S6" s="765"/>
      <c r="T6" s="570">
        <f>C6/C$9</f>
        <v>4.2894979168177999E-2</v>
      </c>
      <c r="U6" s="570">
        <f t="shared" ref="U6:V8" si="0">D6/D$9</f>
        <v>6.3791062130245546E-2</v>
      </c>
      <c r="V6" s="570">
        <f t="shared" si="0"/>
        <v>7.9091596564875438E-2</v>
      </c>
      <c r="W6" s="555"/>
      <c r="X6" s="83"/>
      <c r="Y6" s="83"/>
    </row>
    <row r="7" spans="1:25" ht="14.1" customHeight="1" x14ac:dyDescent="0.15">
      <c r="A7" s="81" t="s">
        <v>243</v>
      </c>
      <c r="B7" s="81" t="s">
        <v>166</v>
      </c>
      <c r="C7" s="167">
        <f>SUM($U$30,$U$32,$U$33,$U$55,$U$56)</f>
        <v>17.417366400000002</v>
      </c>
      <c r="D7" s="167">
        <f>SUM($V$30,$V$32,$V$33,$V$55,$V$56)</f>
        <v>14.763780480000001</v>
      </c>
      <c r="E7" s="167">
        <f>SUM($W$30,$W$32,$W$33,$W$55,$W$56)</f>
        <v>13.846980480000003</v>
      </c>
      <c r="F7" s="167">
        <f>SUM($U$30,$U$32,$U$33,$U$55,$U$56)</f>
        <v>17.417366400000002</v>
      </c>
      <c r="G7" s="167">
        <f>SUM($V$30,$V$32,$V$33,$V$55,$V$56)</f>
        <v>14.763780480000001</v>
      </c>
      <c r="H7" s="168">
        <f>SUM($W$30,$W$32,$W$33,$W$55,$W$56)</f>
        <v>13.846980480000003</v>
      </c>
      <c r="I7" s="61"/>
      <c r="J7" s="761"/>
      <c r="K7" s="762"/>
      <c r="L7" s="763"/>
      <c r="M7" s="120"/>
      <c r="N7" s="554"/>
      <c r="O7" s="549"/>
      <c r="P7" s="549"/>
      <c r="Q7" s="549"/>
      <c r="R7" s="764" t="s">
        <v>246</v>
      </c>
      <c r="S7" s="765"/>
      <c r="T7" s="570">
        <f t="shared" ref="T7:T8" si="1">C7/C$9</f>
        <v>0.18899175164793028</v>
      </c>
      <c r="U7" s="570">
        <f t="shared" si="0"/>
        <v>0.26487413621213673</v>
      </c>
      <c r="V7" s="570">
        <f t="shared" si="0"/>
        <v>0.31788437897205196</v>
      </c>
      <c r="W7" s="555"/>
      <c r="X7" s="83"/>
      <c r="Y7" s="83"/>
    </row>
    <row r="8" spans="1:25" ht="14.1" customHeight="1" x14ac:dyDescent="0.15">
      <c r="A8" s="81" t="s">
        <v>307</v>
      </c>
      <c r="B8" s="81" t="s">
        <v>248</v>
      </c>
      <c r="C8" s="167">
        <f>SUM($U$37,$U$38)</f>
        <v>70.788857870370379</v>
      </c>
      <c r="D8" s="167">
        <f>SUM($V$37,$V$38)</f>
        <v>37.419431666666668</v>
      </c>
      <c r="E8" s="167">
        <f>SUM($W$37,$W$38)</f>
        <v>26.26760686609687</v>
      </c>
      <c r="F8" s="167">
        <f>SUM($U$37,$U$38,U43)</f>
        <v>91.455290231481484</v>
      </c>
      <c r="G8" s="167">
        <f>SUM($V$37,$V$38,V43)</f>
        <v>48.303126166666665</v>
      </c>
      <c r="H8" s="168">
        <f>SUM($W$37,$W$38,W43)</f>
        <v>33.995828925925935</v>
      </c>
      <c r="I8" s="61"/>
      <c r="J8" s="173"/>
      <c r="K8" s="173"/>
      <c r="L8" s="173"/>
      <c r="M8" s="173"/>
      <c r="N8" s="554"/>
      <c r="O8" s="549"/>
      <c r="P8" s="549"/>
      <c r="Q8" s="549"/>
      <c r="R8" s="764" t="s">
        <v>308</v>
      </c>
      <c r="S8" s="765"/>
      <c r="T8" s="570">
        <f t="shared" si="1"/>
        <v>0.76811326918389167</v>
      </c>
      <c r="U8" s="570">
        <f t="shared" si="0"/>
        <v>0.67133480165761772</v>
      </c>
      <c r="V8" s="570">
        <f t="shared" si="0"/>
        <v>0.60302402446307268</v>
      </c>
      <c r="W8" s="555"/>
      <c r="X8" s="83"/>
      <c r="Y8" s="83"/>
    </row>
    <row r="9" spans="1:25" ht="14.1" customHeight="1" x14ac:dyDescent="0.15">
      <c r="A9" s="527" t="s">
        <v>267</v>
      </c>
      <c r="B9" s="270"/>
      <c r="C9" s="271">
        <f>SUM(C6:C8)</f>
        <v>92.159399805164711</v>
      </c>
      <c r="D9" s="271">
        <f t="shared" ref="D9:H9" si="2">SUM(D6:D8)</f>
        <v>55.738852766567376</v>
      </c>
      <c r="E9" s="271">
        <f>SUM(E6:E8)</f>
        <v>43.559801600749353</v>
      </c>
      <c r="F9" s="271">
        <f>SUM(F6:F8)</f>
        <v>112.82583216627582</v>
      </c>
      <c r="G9" s="271">
        <f t="shared" si="2"/>
        <v>66.622547266567381</v>
      </c>
      <c r="H9" s="174">
        <f t="shared" si="2"/>
        <v>51.288023660578418</v>
      </c>
      <c r="I9" s="61"/>
      <c r="J9" s="779" t="s">
        <v>309</v>
      </c>
      <c r="K9" s="780"/>
      <c r="L9" s="781"/>
      <c r="M9" s="120"/>
      <c r="N9" s="554"/>
      <c r="O9" s="549"/>
      <c r="P9" s="549"/>
      <c r="Q9" s="549"/>
      <c r="R9" s="549"/>
      <c r="S9" s="550"/>
      <c r="T9" s="550"/>
      <c r="U9" s="550"/>
      <c r="V9" s="551"/>
      <c r="W9" s="555"/>
      <c r="X9" s="83"/>
      <c r="Y9" s="83"/>
    </row>
    <row r="10" spans="1:25" ht="14.1" customHeight="1" x14ac:dyDescent="0.15">
      <c r="A10" s="143" t="s">
        <v>257</v>
      </c>
      <c r="B10" s="80"/>
      <c r="C10" s="272"/>
      <c r="D10" s="60"/>
      <c r="E10" s="60"/>
      <c r="F10" s="60"/>
      <c r="G10" s="60"/>
      <c r="H10" s="272"/>
      <c r="I10" s="61"/>
      <c r="J10" s="782"/>
      <c r="K10" s="783"/>
      <c r="L10" s="784"/>
      <c r="M10" s="120"/>
      <c r="N10" s="554"/>
      <c r="O10" s="549"/>
      <c r="P10" s="549"/>
      <c r="Q10" s="549"/>
      <c r="R10" s="564" t="s">
        <v>253</v>
      </c>
      <c r="S10" s="550"/>
      <c r="T10" s="550"/>
      <c r="U10" s="550"/>
      <c r="V10" s="551"/>
      <c r="W10" s="555"/>
    </row>
    <row r="11" spans="1:25" ht="14.1" customHeight="1" x14ac:dyDescent="0.15">
      <c r="E11" s="60"/>
      <c r="F11" s="60"/>
      <c r="G11" s="60"/>
      <c r="H11" s="61"/>
      <c r="I11" s="61"/>
      <c r="J11" s="782"/>
      <c r="K11" s="783"/>
      <c r="L11" s="784"/>
      <c r="M11" s="120"/>
      <c r="N11" s="554"/>
      <c r="O11" s="549"/>
      <c r="P11" s="549"/>
      <c r="Q11" s="549"/>
      <c r="R11" s="788" t="s">
        <v>255</v>
      </c>
      <c r="S11" s="788"/>
      <c r="T11" s="788"/>
      <c r="U11" s="788"/>
      <c r="V11" s="788"/>
      <c r="W11" s="555"/>
    </row>
    <row r="12" spans="1:25" ht="15" customHeight="1" x14ac:dyDescent="0.15">
      <c r="E12" s="60"/>
      <c r="F12" s="60"/>
      <c r="G12" s="60"/>
      <c r="H12" s="61"/>
      <c r="I12" s="61"/>
      <c r="J12" s="782"/>
      <c r="K12" s="783"/>
      <c r="L12" s="784"/>
      <c r="M12" s="120"/>
      <c r="N12" s="554"/>
      <c r="O12" s="549"/>
      <c r="P12" s="549"/>
      <c r="Q12" s="549"/>
      <c r="R12" s="788"/>
      <c r="S12" s="788"/>
      <c r="T12" s="788"/>
      <c r="U12" s="788"/>
      <c r="V12" s="788"/>
      <c r="W12" s="555"/>
    </row>
    <row r="13" spans="1:25" ht="15" customHeight="1" x14ac:dyDescent="0.15">
      <c r="E13" s="60"/>
      <c r="F13" s="60"/>
      <c r="G13" s="60"/>
      <c r="H13" s="61"/>
      <c r="I13" s="61"/>
      <c r="J13" s="782"/>
      <c r="K13" s="783"/>
      <c r="L13" s="784"/>
      <c r="M13" s="120"/>
      <c r="N13" s="554"/>
      <c r="O13" s="549"/>
      <c r="P13" s="549"/>
      <c r="Q13" s="549"/>
      <c r="R13" s="788"/>
      <c r="S13" s="788"/>
      <c r="T13" s="788"/>
      <c r="U13" s="788"/>
      <c r="V13" s="788"/>
      <c r="W13" s="555"/>
    </row>
    <row r="14" spans="1:25" ht="15" customHeight="1" x14ac:dyDescent="0.15">
      <c r="E14" s="60"/>
      <c r="F14" s="60"/>
      <c r="G14" s="60"/>
      <c r="H14" s="61"/>
      <c r="I14" s="61"/>
      <c r="J14" s="782"/>
      <c r="K14" s="783"/>
      <c r="L14" s="784"/>
      <c r="M14" s="120"/>
      <c r="N14" s="554"/>
      <c r="O14" s="549"/>
      <c r="P14" s="549"/>
      <c r="Q14" s="549"/>
      <c r="R14" s="788"/>
      <c r="S14" s="788"/>
      <c r="T14" s="788"/>
      <c r="U14" s="788"/>
      <c r="V14" s="788"/>
      <c r="W14" s="555"/>
    </row>
    <row r="15" spans="1:25" ht="15" customHeight="1" x14ac:dyDescent="0.15">
      <c r="E15" s="60"/>
      <c r="F15" s="60"/>
      <c r="G15" s="60"/>
      <c r="H15" s="61"/>
      <c r="I15" s="61"/>
      <c r="J15" s="782"/>
      <c r="K15" s="783"/>
      <c r="L15" s="784"/>
      <c r="M15" s="120"/>
      <c r="N15" s="554"/>
      <c r="O15" s="549"/>
      <c r="P15" s="549"/>
      <c r="Q15" s="549"/>
      <c r="R15" s="788"/>
      <c r="S15" s="788"/>
      <c r="T15" s="788"/>
      <c r="U15" s="788"/>
      <c r="V15" s="788"/>
      <c r="W15" s="555"/>
    </row>
    <row r="16" spans="1:25" ht="15" customHeight="1" x14ac:dyDescent="0.15">
      <c r="E16" s="60"/>
      <c r="F16" s="60"/>
      <c r="G16" s="60"/>
      <c r="H16" s="61"/>
      <c r="I16" s="61"/>
      <c r="J16" s="782"/>
      <c r="K16" s="783"/>
      <c r="L16" s="784"/>
      <c r="M16" s="120"/>
      <c r="N16" s="554"/>
      <c r="O16" s="549"/>
      <c r="P16" s="549"/>
      <c r="Q16" s="549"/>
      <c r="R16" s="549"/>
      <c r="S16" s="550"/>
      <c r="T16" s="550"/>
      <c r="U16" s="550"/>
      <c r="V16" s="551"/>
      <c r="W16" s="555"/>
    </row>
    <row r="17" spans="1:29" ht="14.1" customHeight="1" x14ac:dyDescent="0.15">
      <c r="E17" s="60"/>
      <c r="F17" s="60"/>
      <c r="G17" s="60"/>
      <c r="H17" s="61"/>
      <c r="I17" s="61"/>
      <c r="J17" s="785"/>
      <c r="K17" s="786"/>
      <c r="L17" s="787"/>
      <c r="M17" s="83"/>
      <c r="N17" s="556"/>
      <c r="O17" s="557"/>
      <c r="P17" s="557"/>
      <c r="Q17" s="557"/>
      <c r="R17" s="557"/>
      <c r="S17" s="558"/>
      <c r="T17" s="558"/>
      <c r="U17" s="558"/>
      <c r="V17" s="559"/>
      <c r="W17" s="560"/>
    </row>
    <row r="18" spans="1:29" ht="14.1" customHeight="1" x14ac:dyDescent="0.15">
      <c r="A18" s="143" t="s">
        <v>258</v>
      </c>
      <c r="B18" s="61"/>
      <c r="C18" s="61"/>
      <c r="D18" s="60"/>
      <c r="E18" s="60"/>
      <c r="F18" s="60"/>
      <c r="G18" s="60"/>
      <c r="H18" s="61"/>
      <c r="I18" s="61"/>
      <c r="J18" s="61"/>
      <c r="K18" s="83"/>
      <c r="L18" s="83"/>
      <c r="M18" s="83"/>
      <c r="N18" s="578"/>
      <c r="O18" s="578"/>
      <c r="P18" s="578"/>
      <c r="Q18" s="578"/>
      <c r="R18" s="578"/>
      <c r="S18" s="579"/>
      <c r="T18" s="579"/>
      <c r="U18" s="579"/>
      <c r="V18" s="580"/>
      <c r="W18" s="578"/>
    </row>
    <row r="19" spans="1:29" ht="14.1" customHeight="1" x14ac:dyDescent="0.15">
      <c r="A19" s="766" t="s">
        <v>259</v>
      </c>
      <c r="B19" s="767"/>
      <c r="C19" s="767"/>
      <c r="D19" s="823" t="s">
        <v>2</v>
      </c>
      <c r="E19" s="823"/>
      <c r="F19" s="823"/>
      <c r="G19" s="824"/>
      <c r="H19" s="766" t="s">
        <v>260</v>
      </c>
      <c r="I19" s="768"/>
      <c r="J19" s="747" t="s">
        <v>261</v>
      </c>
      <c r="K19" s="752" t="s">
        <v>262</v>
      </c>
      <c r="L19" s="753"/>
      <c r="M19" s="754"/>
      <c r="N19" s="778" t="s">
        <v>263</v>
      </c>
      <c r="O19" s="832" t="s">
        <v>264</v>
      </c>
      <c r="P19" s="833"/>
      <c r="Q19" s="778" t="s">
        <v>265</v>
      </c>
      <c r="R19" s="832" t="s">
        <v>310</v>
      </c>
      <c r="S19" s="833"/>
      <c r="T19" s="778" t="s">
        <v>266</v>
      </c>
      <c r="U19" s="748" t="s">
        <v>311</v>
      </c>
      <c r="V19" s="828"/>
      <c r="W19" s="749"/>
    </row>
    <row r="20" spans="1:29" s="9" customFormat="1" ht="14.1" customHeight="1" x14ac:dyDescent="0.15">
      <c r="A20" s="772"/>
      <c r="B20" s="773"/>
      <c r="C20" s="773"/>
      <c r="D20" s="826"/>
      <c r="E20" s="826"/>
      <c r="F20" s="826"/>
      <c r="G20" s="827"/>
      <c r="H20" s="830"/>
      <c r="I20" s="831"/>
      <c r="J20" s="749"/>
      <c r="K20" s="54" t="s">
        <v>220</v>
      </c>
      <c r="L20" s="54" t="s">
        <v>221</v>
      </c>
      <c r="M20" s="54" t="s">
        <v>222</v>
      </c>
      <c r="N20" s="829"/>
      <c r="O20" s="748"/>
      <c r="P20" s="749"/>
      <c r="Q20" s="829"/>
      <c r="R20" s="748"/>
      <c r="S20" s="749"/>
      <c r="T20" s="829"/>
      <c r="U20" s="54" t="s">
        <v>220</v>
      </c>
      <c r="V20" s="54" t="s">
        <v>221</v>
      </c>
      <c r="W20" s="54" t="s">
        <v>222</v>
      </c>
      <c r="Y20" s="3"/>
      <c r="Z20" s="3"/>
      <c r="AA20" s="3"/>
      <c r="AB20" s="3"/>
      <c r="AC20" s="3"/>
    </row>
    <row r="21" spans="1:29" ht="14.1" customHeight="1" x14ac:dyDescent="0.15">
      <c r="A21" s="2"/>
      <c r="D21" s="799" t="s">
        <v>269</v>
      </c>
      <c r="E21" s="799"/>
      <c r="F21" s="799"/>
      <c r="G21" s="800"/>
      <c r="H21" s="38" t="s">
        <v>270</v>
      </c>
      <c r="I21" s="45"/>
      <c r="J21" s="50" t="s">
        <v>171</v>
      </c>
      <c r="K21" s="129"/>
      <c r="L21" s="129"/>
      <c r="M21" s="129"/>
      <c r="N21" s="129"/>
      <c r="O21" s="737" t="s">
        <v>271</v>
      </c>
      <c r="P21" s="738"/>
      <c r="Q21" s="257"/>
      <c r="R21" s="129"/>
      <c r="S21" s="144" t="str">
        <f>IF(R21='3. Parameters kostprijsmodel'!$C$9,'3. Parameters kostprijsmodel'!$D$9,IF(R21='3. Parameters kostprijsmodel'!$C$10,'3. Parameters kostprijsmodel'!$D$10,IF(R21='3. Parameters kostprijsmodel'!$C$11,'3. Parameters kostprijsmodel'!$D$11,"")))</f>
        <v/>
      </c>
      <c r="T21" s="102"/>
      <c r="U21" s="257" t="str">
        <f>IF(N21="","",(K21*O21*S21+T21))</f>
        <v/>
      </c>
      <c r="V21" s="257" t="str">
        <f t="shared" ref="V21:V26" si="3">IF(N21="","",L21*Q21*S21+T21)</f>
        <v/>
      </c>
      <c r="W21" s="257"/>
    </row>
    <row r="22" spans="1:29" ht="14.1" customHeight="1" x14ac:dyDescent="0.15">
      <c r="A22" s="2"/>
      <c r="D22" s="802"/>
      <c r="E22" s="802"/>
      <c r="F22" s="802"/>
      <c r="G22" s="803"/>
      <c r="H22" s="741" t="s">
        <v>272</v>
      </c>
      <c r="I22" s="742"/>
      <c r="J22" s="183" t="s">
        <v>171</v>
      </c>
      <c r="K22" s="176"/>
      <c r="L22" s="176"/>
      <c r="M22" s="176"/>
      <c r="N22" s="176"/>
      <c r="O22" s="739"/>
      <c r="P22" s="740"/>
      <c r="Q22" s="176"/>
      <c r="R22" s="176"/>
      <c r="S22" s="151" t="str">
        <f>IF(R22='3. Parameters kostprijsmodel'!$C$9,'3. Parameters kostprijsmodel'!$D$9,IF(R22='3. Parameters kostprijsmodel'!$C$10,'3. Parameters kostprijsmodel'!$D$10,IF(R22='3. Parameters kostprijsmodel'!$C$11,'3. Parameters kostprijsmodel'!$D$11,"")))</f>
        <v/>
      </c>
      <c r="T22" s="77"/>
      <c r="U22" s="77" t="str">
        <f>IF(N22="","",(K22*O22*S22+T22))</f>
        <v/>
      </c>
      <c r="V22" s="176" t="str">
        <f t="shared" si="3"/>
        <v/>
      </c>
      <c r="W22" s="176"/>
    </row>
    <row r="23" spans="1:29" ht="14.1" customHeight="1" x14ac:dyDescent="0.15">
      <c r="A23" s="2"/>
      <c r="D23" s="802"/>
      <c r="E23" s="802"/>
      <c r="F23" s="802"/>
      <c r="G23" s="803"/>
      <c r="H23" s="27"/>
      <c r="I23" s="26"/>
      <c r="J23" s="26"/>
      <c r="K23" s="66"/>
      <c r="L23" s="66"/>
      <c r="M23" s="66"/>
      <c r="N23" s="66"/>
      <c r="O23" s="251"/>
      <c r="P23" s="252"/>
      <c r="Q23" s="66"/>
      <c r="R23" s="66"/>
      <c r="S23" s="146" t="str">
        <f>IF(R23='3. Parameters kostprijsmodel'!$C$9,'3. Parameters kostprijsmodel'!$D$9,IF(R23='3. Parameters kostprijsmodel'!$C$10,'3. Parameters kostprijsmodel'!$D$10,IF(R23='3. Parameters kostprijsmodel'!$C$11,'3. Parameters kostprijsmodel'!$D$11,"")))</f>
        <v/>
      </c>
      <c r="T23" s="66"/>
      <c r="U23" s="66" t="str">
        <f>IF(N23="","",(K23*Q23*S23+T23))</f>
        <v/>
      </c>
      <c r="V23" s="66" t="str">
        <f t="shared" si="3"/>
        <v/>
      </c>
      <c r="W23" s="66"/>
    </row>
    <row r="24" spans="1:29" ht="14.1" customHeight="1" x14ac:dyDescent="0.15">
      <c r="A24" s="2"/>
      <c r="D24" s="802"/>
      <c r="E24" s="802"/>
      <c r="F24" s="802"/>
      <c r="G24" s="803"/>
      <c r="H24" s="27"/>
      <c r="I24" s="26"/>
      <c r="J24" s="186"/>
      <c r="K24" s="66"/>
      <c r="L24" s="66"/>
      <c r="M24" s="66"/>
      <c r="N24" s="66"/>
      <c r="O24" s="92"/>
      <c r="P24" s="259"/>
      <c r="Q24" s="66"/>
      <c r="R24" s="66"/>
      <c r="S24" s="146" t="str">
        <f>IF(R24='3. Parameters kostprijsmodel'!$C$9,'3. Parameters kostprijsmodel'!$D$9,IF(R24='3. Parameters kostprijsmodel'!$C$10,'3. Parameters kostprijsmodel'!$D$10,IF(R24='3. Parameters kostprijsmodel'!$C$11,'3. Parameters kostprijsmodel'!$D$11,"")))</f>
        <v/>
      </c>
      <c r="T24" s="66"/>
      <c r="U24" s="66" t="str">
        <f>IF(N24="","",(K24*Q24*S24+T24))</f>
        <v/>
      </c>
      <c r="V24" s="66" t="str">
        <f t="shared" si="3"/>
        <v/>
      </c>
      <c r="W24" s="66"/>
    </row>
    <row r="25" spans="1:29" ht="14.1" customHeight="1" x14ac:dyDescent="0.15">
      <c r="A25" s="2"/>
      <c r="D25" s="802"/>
      <c r="E25" s="802"/>
      <c r="F25" s="802"/>
      <c r="G25" s="803"/>
      <c r="H25" s="27"/>
      <c r="I25" s="26"/>
      <c r="J25" s="26"/>
      <c r="K25" s="66"/>
      <c r="L25" s="66"/>
      <c r="M25" s="66"/>
      <c r="N25" s="66"/>
      <c r="O25" s="92"/>
      <c r="P25" s="259"/>
      <c r="Q25" s="66"/>
      <c r="R25" s="66"/>
      <c r="S25" s="146" t="str">
        <f>IF(R25='3. Parameters kostprijsmodel'!$C$9,'3. Parameters kostprijsmodel'!$D$9,IF(R25='3. Parameters kostprijsmodel'!$C$10,'3. Parameters kostprijsmodel'!$D$10,IF(R25='3. Parameters kostprijsmodel'!$C$11,'3. Parameters kostprijsmodel'!$D$11,"")))</f>
        <v/>
      </c>
      <c r="T25" s="66"/>
      <c r="U25" s="66" t="str">
        <f>IF(N25="","",(K25*Q25*S25+T25))</f>
        <v/>
      </c>
      <c r="V25" s="66" t="str">
        <f t="shared" si="3"/>
        <v/>
      </c>
      <c r="W25" s="66"/>
    </row>
    <row r="26" spans="1:29" ht="16.5" customHeight="1" x14ac:dyDescent="0.15">
      <c r="A26" s="2"/>
      <c r="D26" s="802"/>
      <c r="E26" s="802"/>
      <c r="F26" s="802"/>
      <c r="G26" s="803"/>
      <c r="H26" s="27"/>
      <c r="I26" s="26"/>
      <c r="J26" s="26"/>
      <c r="K26" s="66"/>
      <c r="L26" s="66"/>
      <c r="M26" s="66"/>
      <c r="N26" s="66"/>
      <c r="O26" s="92"/>
      <c r="P26" s="259"/>
      <c r="Q26" s="66"/>
      <c r="R26" s="66"/>
      <c r="S26" s="146" t="str">
        <f>IF(R26='3. Parameters kostprijsmodel'!$C$9,'3. Parameters kostprijsmodel'!$D$9,IF(R26='3. Parameters kostprijsmodel'!$C$10,'3. Parameters kostprijsmodel'!$D$10,IF(R26='3. Parameters kostprijsmodel'!$C$11,'3. Parameters kostprijsmodel'!$D$11,"")))</f>
        <v/>
      </c>
      <c r="T26" s="66"/>
      <c r="U26" s="66" t="str">
        <f>IF(N26="","",(K26*Q26*S26+T26))</f>
        <v/>
      </c>
      <c r="V26" s="66" t="str">
        <f t="shared" si="3"/>
        <v/>
      </c>
      <c r="W26" s="66"/>
    </row>
    <row r="27" spans="1:29" ht="16.5" customHeight="1" x14ac:dyDescent="0.15">
      <c r="A27" s="2"/>
      <c r="D27" s="802"/>
      <c r="E27" s="802"/>
      <c r="F27" s="802"/>
      <c r="G27" s="803"/>
      <c r="H27" s="27"/>
      <c r="I27" s="26"/>
      <c r="J27" s="26"/>
      <c r="K27" s="66"/>
      <c r="L27" s="66"/>
      <c r="M27" s="66"/>
      <c r="N27" s="66"/>
      <c r="O27" s="92"/>
      <c r="P27" s="259"/>
      <c r="Q27" s="66"/>
      <c r="R27" s="66"/>
      <c r="S27" s="146" t="str">
        <f>IF(R27='3. Parameters kostprijsmodel'!$C$9,'3. Parameters kostprijsmodel'!$D$9,IF(R27='3. Parameters kostprijsmodel'!$C$10,'3. Parameters kostprijsmodel'!$D$10,IF(R27='3. Parameters kostprijsmodel'!$C$11,'3. Parameters kostprijsmodel'!$D$11,"")))</f>
        <v/>
      </c>
      <c r="T27" s="66"/>
      <c r="U27" s="66"/>
      <c r="V27" s="66"/>
      <c r="W27" s="66"/>
    </row>
    <row r="28" spans="1:29" ht="16.5" customHeight="1" x14ac:dyDescent="0.15">
      <c r="A28" s="2"/>
      <c r="D28" s="802"/>
      <c r="E28" s="802"/>
      <c r="F28" s="802"/>
      <c r="G28" s="803"/>
      <c r="H28" s="27"/>
      <c r="I28" s="26"/>
      <c r="J28" s="26"/>
      <c r="K28" s="66"/>
      <c r="L28" s="66"/>
      <c r="M28" s="66"/>
      <c r="N28" s="66"/>
      <c r="O28" s="92"/>
      <c r="P28" s="259"/>
      <c r="Q28" s="66"/>
      <c r="R28" s="66"/>
      <c r="S28" s="146" t="str">
        <f>IF(R28='3. Parameters kostprijsmodel'!$C$9,'3. Parameters kostprijsmodel'!$D$9,IF(R28='3. Parameters kostprijsmodel'!$C$10,'3. Parameters kostprijsmodel'!$D$10,IF(R28='3. Parameters kostprijsmodel'!$C$11,'3. Parameters kostprijsmodel'!$D$11,"")))</f>
        <v/>
      </c>
      <c r="T28" s="66"/>
      <c r="U28" s="66"/>
      <c r="V28" s="66"/>
      <c r="W28" s="66"/>
    </row>
    <row r="29" spans="1:29" ht="16.5" customHeight="1" x14ac:dyDescent="0.15">
      <c r="A29" s="187"/>
      <c r="B29" s="20"/>
      <c r="C29" s="20"/>
      <c r="D29" s="805"/>
      <c r="E29" s="805"/>
      <c r="F29" s="805"/>
      <c r="G29" s="806"/>
      <c r="H29" s="27"/>
      <c r="I29" s="26"/>
      <c r="J29" s="26"/>
      <c r="K29" s="66"/>
      <c r="L29" s="66"/>
      <c r="M29" s="66"/>
      <c r="N29" s="66"/>
      <c r="O29" s="181"/>
      <c r="P29" s="253"/>
      <c r="Q29" s="66"/>
      <c r="R29" s="66"/>
      <c r="S29" s="146"/>
      <c r="T29" s="66"/>
      <c r="U29" s="66"/>
      <c r="V29" s="66"/>
      <c r="W29" s="66"/>
    </row>
    <row r="30" spans="1:29" ht="14.1" customHeight="1" x14ac:dyDescent="0.15">
      <c r="A30" s="188"/>
      <c r="B30" s="19"/>
      <c r="C30" s="19"/>
      <c r="D30" s="847" t="s">
        <v>312</v>
      </c>
      <c r="E30" s="848"/>
      <c r="F30" s="848"/>
      <c r="G30" s="849"/>
      <c r="H30" s="34" t="s">
        <v>274</v>
      </c>
      <c r="I30" s="35"/>
      <c r="J30" s="35" t="s">
        <v>166</v>
      </c>
      <c r="K30" s="258">
        <f>11.912/'3. Parameters kostprijsmodel'!C29</f>
        <v>4.7648000000000003E-2</v>
      </c>
      <c r="L30" s="258">
        <f>9.926/'3. Parameters kostprijsmodel'!C29</f>
        <v>3.9704000000000003E-2</v>
      </c>
      <c r="M30" s="258">
        <f>9.926/'3. Parameters kostprijsmodel'!C29</f>
        <v>3.9704000000000003E-2</v>
      </c>
      <c r="N30" s="67" t="s">
        <v>275</v>
      </c>
      <c r="O30" s="727" t="s">
        <v>276</v>
      </c>
      <c r="P30" s="728"/>
      <c r="Q30" s="71">
        <v>1</v>
      </c>
      <c r="R30" s="67" t="s">
        <v>167</v>
      </c>
      <c r="S30" s="169">
        <f>IF(R30='3. Parameters kostprijsmodel'!$C$9,'3. Parameters kostprijsmodel'!$D$9,IF(R30='3. Parameters kostprijsmodel'!$C$10,'3. Parameters kostprijsmodel'!$D$10,IF(R30='3. Parameters kostprijsmodel'!$C$11,'3. Parameters kostprijsmodel'!$D$11,"")))</f>
        <v>91.68</v>
      </c>
      <c r="T30" s="71">
        <v>0</v>
      </c>
      <c r="U30" s="147">
        <f t="shared" ref="U30:W33" si="4">IF($H30="","",(K30*$Q30*$S30+$T30))</f>
        <v>4.3683686400000008</v>
      </c>
      <c r="V30" s="147">
        <f t="shared" si="4"/>
        <v>3.6400627200000004</v>
      </c>
      <c r="W30" s="147">
        <f t="shared" si="4"/>
        <v>3.6400627200000004</v>
      </c>
    </row>
    <row r="31" spans="1:29" ht="14.1" customHeight="1" x14ac:dyDescent="0.15">
      <c r="A31" s="2"/>
      <c r="D31" s="850"/>
      <c r="E31" s="851"/>
      <c r="F31" s="851"/>
      <c r="G31" s="852"/>
      <c r="H31" s="735" t="s">
        <v>277</v>
      </c>
      <c r="I31" s="736"/>
      <c r="J31" s="35" t="s">
        <v>171</v>
      </c>
      <c r="K31" s="258">
        <f>3.583/'3. Parameters kostprijsmodel'!C29</f>
        <v>1.4332000000000001E-2</v>
      </c>
      <c r="L31" s="258">
        <f>3.333/'3. Parameters kostprijsmodel'!C29</f>
        <v>1.3332E-2</v>
      </c>
      <c r="M31" s="258">
        <f>3.333/'3. Parameters kostprijsmodel'!C29</f>
        <v>1.3332E-2</v>
      </c>
      <c r="N31" s="67" t="s">
        <v>275</v>
      </c>
      <c r="O31" s="727" t="s">
        <v>276</v>
      </c>
      <c r="P31" s="728"/>
      <c r="Q31" s="65">
        <v>1</v>
      </c>
      <c r="R31" s="104" t="s">
        <v>172</v>
      </c>
      <c r="S31" s="170">
        <f>IF(R31='3. Parameters kostprijsmodel'!$C$9,'3. Parameters kostprijsmodel'!$D$9,IF(R31='3. Parameters kostprijsmodel'!$C$10,'3. Parameters kostprijsmodel'!$D$10,IF(R31='3. Parameters kostprijsmodel'!$C$11,'3. Parameters kostprijsmodel'!$D$11,"")))</f>
        <v>66.255819148936169</v>
      </c>
      <c r="T31" s="65">
        <v>0</v>
      </c>
      <c r="U31" s="147">
        <f t="shared" si="4"/>
        <v>0.94957840004255323</v>
      </c>
      <c r="V31" s="147">
        <f t="shared" si="4"/>
        <v>0.88332258089361704</v>
      </c>
      <c r="W31" s="147">
        <f t="shared" si="4"/>
        <v>0.88332258089361704</v>
      </c>
    </row>
    <row r="32" spans="1:29" ht="14.1" customHeight="1" x14ac:dyDescent="0.15">
      <c r="A32" s="2"/>
      <c r="D32" s="850"/>
      <c r="E32" s="851"/>
      <c r="F32" s="851"/>
      <c r="G32" s="852"/>
      <c r="H32" s="733" t="s">
        <v>277</v>
      </c>
      <c r="I32" s="734"/>
      <c r="J32" s="36" t="s">
        <v>166</v>
      </c>
      <c r="K32" s="258">
        <f>3.583/'3. Parameters kostprijsmodel'!C29</f>
        <v>1.4332000000000001E-2</v>
      </c>
      <c r="L32" s="258">
        <f>3.333/'3. Parameters kostprijsmodel'!C29</f>
        <v>1.3332E-2</v>
      </c>
      <c r="M32" s="258">
        <f>3.333/'3. Parameters kostprijsmodel'!C29</f>
        <v>1.3332E-2</v>
      </c>
      <c r="N32" s="67" t="s">
        <v>275</v>
      </c>
      <c r="O32" s="727" t="s">
        <v>276</v>
      </c>
      <c r="P32" s="728"/>
      <c r="Q32" s="65">
        <v>1</v>
      </c>
      <c r="R32" s="104" t="s">
        <v>167</v>
      </c>
      <c r="S32" s="170">
        <f>IF(R32='3. Parameters kostprijsmodel'!$C$9,'3. Parameters kostprijsmodel'!$D$9,IF(R32='3. Parameters kostprijsmodel'!$C$10,'3. Parameters kostprijsmodel'!$D$10,IF(R32='3. Parameters kostprijsmodel'!$C$11,'3. Parameters kostprijsmodel'!$D$11,"")))</f>
        <v>91.68</v>
      </c>
      <c r="T32" s="65">
        <v>0</v>
      </c>
      <c r="U32" s="147">
        <f t="shared" si="4"/>
        <v>1.3139577600000001</v>
      </c>
      <c r="V32" s="147">
        <f t="shared" si="4"/>
        <v>1.2222777600000001</v>
      </c>
      <c r="W32" s="147">
        <f t="shared" si="4"/>
        <v>1.2222777600000001</v>
      </c>
    </row>
    <row r="33" spans="1:24" ht="14.1" customHeight="1" x14ac:dyDescent="0.15">
      <c r="A33" s="2"/>
      <c r="D33" s="850"/>
      <c r="E33" s="851"/>
      <c r="F33" s="851"/>
      <c r="G33" s="852"/>
      <c r="H33" s="733" t="s">
        <v>278</v>
      </c>
      <c r="I33" s="734"/>
      <c r="J33" s="179" t="s">
        <v>166</v>
      </c>
      <c r="K33" s="258">
        <f>0/'3. Parameters kostprijsmodel'!C29</f>
        <v>0</v>
      </c>
      <c r="L33" s="258">
        <f>0/'3. Parameters kostprijsmodel'!C29</f>
        <v>0</v>
      </c>
      <c r="M33" s="258">
        <v>0</v>
      </c>
      <c r="N33" s="68" t="s">
        <v>275</v>
      </c>
      <c r="O33" s="727" t="s">
        <v>276</v>
      </c>
      <c r="P33" s="728"/>
      <c r="Q33" s="68">
        <v>1</v>
      </c>
      <c r="R33" s="65" t="s">
        <v>169</v>
      </c>
      <c r="S33" s="157">
        <f>IF(R33='3. Parameters kostprijsmodel'!$C$9,'3. Parameters kostprijsmodel'!$D$9,IF(R33='3. Parameters kostprijsmodel'!$C$10,'3. Parameters kostprijsmodel'!$D$10,IF(R33='3. Parameters kostprijsmodel'!$C$11,'3. Parameters kostprijsmodel'!$D$11,"")))</f>
        <v>76.03</v>
      </c>
      <c r="T33" s="103">
        <v>0</v>
      </c>
      <c r="U33" s="147">
        <f t="shared" si="4"/>
        <v>0</v>
      </c>
      <c r="V33" s="147">
        <f t="shared" si="4"/>
        <v>0</v>
      </c>
      <c r="W33" s="147">
        <f t="shared" si="4"/>
        <v>0</v>
      </c>
      <c r="X33" s="505"/>
    </row>
    <row r="34" spans="1:24" ht="14.1" customHeight="1" x14ac:dyDescent="0.15">
      <c r="A34" s="2"/>
      <c r="D34" s="850"/>
      <c r="E34" s="851"/>
      <c r="F34" s="851"/>
      <c r="G34" s="852"/>
      <c r="H34" s="27"/>
      <c r="I34" s="26"/>
      <c r="J34" s="186"/>
      <c r="K34" s="72"/>
      <c r="L34" s="72"/>
      <c r="M34" s="72"/>
      <c r="N34" s="72"/>
      <c r="O34" s="92"/>
      <c r="P34" s="48"/>
      <c r="Q34" s="259"/>
      <c r="R34" s="72"/>
      <c r="S34" s="153" t="str">
        <f>IF(R34='3. Parameters kostprijsmodel'!$C$9,'3. Parameters kostprijsmodel'!$D$9,IF(R34='3. Parameters kostprijsmodel'!$C$10,'3. Parameters kostprijsmodel'!$D$10,IF(R34='3. Parameters kostprijsmodel'!$C$11,'3. Parameters kostprijsmodel'!$D$11,"")))</f>
        <v/>
      </c>
      <c r="T34" s="66"/>
      <c r="U34" s="146" t="str">
        <f>IF(N34="","",(K34*Q34*S34+T34))</f>
        <v/>
      </c>
      <c r="V34" s="146" t="str">
        <f>IF(N34="","",L34*Q34*S34+T34)</f>
        <v/>
      </c>
      <c r="W34" s="146"/>
      <c r="X34" s="2"/>
    </row>
    <row r="35" spans="1:24" ht="14.1" customHeight="1" x14ac:dyDescent="0.15">
      <c r="A35" s="2"/>
      <c r="D35" s="850"/>
      <c r="E35" s="851"/>
      <c r="F35" s="851"/>
      <c r="G35" s="852"/>
      <c r="H35" s="27"/>
      <c r="I35" s="26"/>
      <c r="J35" s="26"/>
      <c r="K35" s="66"/>
      <c r="L35" s="66"/>
      <c r="M35" s="66"/>
      <c r="N35" s="66"/>
      <c r="O35" s="92"/>
      <c r="P35" s="48"/>
      <c r="Q35" s="259"/>
      <c r="R35" s="66"/>
      <c r="S35" s="146" t="str">
        <f>IF(R35='3. Parameters kostprijsmodel'!$C$9,'3. Parameters kostprijsmodel'!$D$9,IF(R35='3. Parameters kostprijsmodel'!$C$10,'3. Parameters kostprijsmodel'!$D$10,IF(R35='3. Parameters kostprijsmodel'!$C$11,'3. Parameters kostprijsmodel'!$D$11,"")))</f>
        <v/>
      </c>
      <c r="T35" s="66"/>
      <c r="U35" s="146" t="str">
        <f>IF(N35="","",(K35*Q35*S35+T35))</f>
        <v/>
      </c>
      <c r="V35" s="146" t="str">
        <f>IF(N35="","",L35*Q35*S35+T35)</f>
        <v/>
      </c>
      <c r="W35" s="151"/>
    </row>
    <row r="36" spans="1:24" ht="14.1" customHeight="1" x14ac:dyDescent="0.15">
      <c r="A36" s="187"/>
      <c r="B36" s="20"/>
      <c r="C36" s="7"/>
      <c r="D36" s="853"/>
      <c r="E36" s="854"/>
      <c r="F36" s="854"/>
      <c r="G36" s="855"/>
      <c r="H36" s="27"/>
      <c r="I36" s="26"/>
      <c r="J36" s="26"/>
      <c r="K36" s="66"/>
      <c r="L36" s="66"/>
      <c r="M36" s="66"/>
      <c r="N36" s="66"/>
      <c r="O36" s="181"/>
      <c r="P36" s="48"/>
      <c r="Q36" s="259"/>
      <c r="R36" s="66"/>
      <c r="S36" s="146" t="str">
        <f>IF(R36='3. Parameters kostprijsmodel'!$C$9,'3. Parameters kostprijsmodel'!$D$9,IF(R36='3. Parameters kostprijsmodel'!$C$10,'3. Parameters kostprijsmodel'!$D$10,IF(R36='3. Parameters kostprijsmodel'!$C$11,'3. Parameters kostprijsmodel'!$D$11,"")))</f>
        <v/>
      </c>
      <c r="T36" s="66"/>
      <c r="U36" s="146"/>
      <c r="V36" s="146"/>
      <c r="W36" s="146"/>
    </row>
    <row r="37" spans="1:24" ht="14.1" customHeight="1" x14ac:dyDescent="0.15">
      <c r="A37" s="188"/>
      <c r="B37" s="19"/>
      <c r="C37" s="19"/>
      <c r="D37" s="834" t="s">
        <v>313</v>
      </c>
      <c r="E37" s="835"/>
      <c r="F37" s="835"/>
      <c r="G37" s="836"/>
      <c r="H37" s="731" t="s">
        <v>314</v>
      </c>
      <c r="I37" s="732"/>
      <c r="J37" s="35" t="s">
        <v>166</v>
      </c>
      <c r="K37" s="258">
        <v>0.90606481481481482</v>
      </c>
      <c r="L37" s="258">
        <v>0.47716666666666663</v>
      </c>
      <c r="M37" s="258">
        <v>0.33882336182336187</v>
      </c>
      <c r="N37" s="67" t="s">
        <v>275</v>
      </c>
      <c r="O37" s="727" t="s">
        <v>282</v>
      </c>
      <c r="P37" s="843"/>
      <c r="Q37" s="500">
        <v>1</v>
      </c>
      <c r="R37" s="67" t="s">
        <v>169</v>
      </c>
      <c r="S37" s="169">
        <f>IF(R37='3. Parameters kostprijsmodel'!$C$9,'3. Parameters kostprijsmodel'!$D$9,IF(R37='3. Parameters kostprijsmodel'!$C$10,'3. Parameters kostprijsmodel'!$D$10,IF(R37='3. Parameters kostprijsmodel'!$C$11,'3. Parameters kostprijsmodel'!$D$11,"")))</f>
        <v>76.03</v>
      </c>
      <c r="T37" s="71">
        <v>0</v>
      </c>
      <c r="U37" s="147">
        <f t="shared" ref="U37:W38" si="5">IF($H37="","",(K37*$Q37*$S37+$T37))</f>
        <v>68.888107870370376</v>
      </c>
      <c r="V37" s="147">
        <f t="shared" si="5"/>
        <v>36.278981666666667</v>
      </c>
      <c r="W37" s="147">
        <f t="shared" si="5"/>
        <v>25.760740199430202</v>
      </c>
    </row>
    <row r="38" spans="1:24" ht="14.1" customHeight="1" x14ac:dyDescent="0.15">
      <c r="A38" s="2"/>
      <c r="D38" s="837"/>
      <c r="E38" s="838"/>
      <c r="F38" s="838"/>
      <c r="G38" s="839"/>
      <c r="H38" s="735" t="s">
        <v>315</v>
      </c>
      <c r="I38" s="736"/>
      <c r="J38" s="36" t="s">
        <v>166</v>
      </c>
      <c r="K38" s="258">
        <v>2.5000000000000001E-2</v>
      </c>
      <c r="L38" s="258">
        <v>1.4999999999999999E-2</v>
      </c>
      <c r="M38" s="258">
        <v>6.6666666666666671E-3</v>
      </c>
      <c r="N38" s="67" t="s">
        <v>275</v>
      </c>
      <c r="O38" s="727" t="s">
        <v>282</v>
      </c>
      <c r="P38" s="843"/>
      <c r="Q38" s="256">
        <v>1</v>
      </c>
      <c r="R38" s="104" t="s">
        <v>169</v>
      </c>
      <c r="S38" s="170">
        <f>IF(R38='3. Parameters kostprijsmodel'!$C$9,'3. Parameters kostprijsmodel'!$D$9,IF(R38='3. Parameters kostprijsmodel'!$C$10,'3. Parameters kostprijsmodel'!$D$10,IF(R38='3. Parameters kostprijsmodel'!$C$11,'3. Parameters kostprijsmodel'!$D$11,"")))</f>
        <v>76.03</v>
      </c>
      <c r="T38" s="65">
        <v>0</v>
      </c>
      <c r="U38" s="147">
        <f t="shared" si="5"/>
        <v>1.9007500000000002</v>
      </c>
      <c r="V38" s="147">
        <f t="shared" si="5"/>
        <v>1.14045</v>
      </c>
      <c r="W38" s="147">
        <f t="shared" si="5"/>
        <v>0.50686666666666669</v>
      </c>
    </row>
    <row r="39" spans="1:24" ht="14.1" customHeight="1" x14ac:dyDescent="0.15">
      <c r="A39" s="2"/>
      <c r="D39" s="837"/>
      <c r="E39" s="838"/>
      <c r="F39" s="838"/>
      <c r="G39" s="839"/>
      <c r="H39" s="27"/>
      <c r="I39" s="26"/>
      <c r="J39" s="26"/>
      <c r="K39" s="66"/>
      <c r="L39" s="66"/>
      <c r="M39" s="66"/>
      <c r="N39" s="66"/>
      <c r="O39" s="92"/>
      <c r="P39" s="48"/>
      <c r="Q39" s="259"/>
      <c r="R39" s="66"/>
      <c r="S39" s="146" t="str">
        <f>IF(R39='3. Parameters kostprijsmodel'!$C$9,'3. Parameters kostprijsmodel'!$D$9,IF(R39='3. Parameters kostprijsmodel'!$C$10,'3. Parameters kostprijsmodel'!$D$10,IF(R39='3. Parameters kostprijsmodel'!$C$11,'3. Parameters kostprijsmodel'!$D$11,"")))</f>
        <v/>
      </c>
      <c r="T39" s="66"/>
      <c r="U39" s="146" t="str">
        <f>IF(N39="","",(K39*Q39*S39+T39))</f>
        <v/>
      </c>
      <c r="V39" s="146" t="str">
        <f>IF(N39="","",L39*Q39*S39+T39)</f>
        <v/>
      </c>
      <c r="W39" s="146"/>
    </row>
    <row r="40" spans="1:24" ht="14.1" customHeight="1" x14ac:dyDescent="0.15">
      <c r="A40" s="2"/>
      <c r="D40" s="837"/>
      <c r="E40" s="838"/>
      <c r="F40" s="838"/>
      <c r="G40" s="839"/>
      <c r="H40" s="27"/>
      <c r="I40" s="26"/>
      <c r="J40" s="186"/>
      <c r="K40" s="72"/>
      <c r="L40" s="72"/>
      <c r="M40" s="72"/>
      <c r="N40" s="72"/>
      <c r="O40" s="92"/>
      <c r="P40" s="48"/>
      <c r="Q40" s="259"/>
      <c r="R40" s="72"/>
      <c r="S40" s="153" t="str">
        <f>IF(R40='3. Parameters kostprijsmodel'!$C$9,'3. Parameters kostprijsmodel'!$D$9,IF(R40='3. Parameters kostprijsmodel'!$C$10,'3. Parameters kostprijsmodel'!$D$10,IF(R40='3. Parameters kostprijsmodel'!$C$11,'3. Parameters kostprijsmodel'!$D$11,"")))</f>
        <v/>
      </c>
      <c r="T40" s="66"/>
      <c r="U40" s="146" t="str">
        <f>IF(N40="","",(K40*Q40*S40+T40))</f>
        <v/>
      </c>
      <c r="V40" s="146" t="str">
        <f>IF(N40="","",L40*Q40*S40+T40)</f>
        <v/>
      </c>
      <c r="W40" s="146"/>
    </row>
    <row r="41" spans="1:24" ht="14.1" customHeight="1" x14ac:dyDescent="0.15">
      <c r="A41" s="2"/>
      <c r="D41" s="837"/>
      <c r="E41" s="838"/>
      <c r="F41" s="838"/>
      <c r="G41" s="839"/>
      <c r="H41" s="27"/>
      <c r="I41" s="26"/>
      <c r="J41" s="26"/>
      <c r="K41" s="66"/>
      <c r="L41" s="66"/>
      <c r="M41" s="66"/>
      <c r="N41" s="66"/>
      <c r="O41" s="92"/>
      <c r="P41" s="48"/>
      <c r="Q41" s="259"/>
      <c r="R41" s="66"/>
      <c r="S41" s="146" t="str">
        <f>IF(R41='3. Parameters kostprijsmodel'!$C$9,'3. Parameters kostprijsmodel'!$D$9,IF(R41='3. Parameters kostprijsmodel'!$C$10,'3. Parameters kostprijsmodel'!$D$10,IF(R41='3. Parameters kostprijsmodel'!$C$11,'3. Parameters kostprijsmodel'!$D$11,"")))</f>
        <v/>
      </c>
      <c r="T41" s="66"/>
      <c r="U41" s="146" t="str">
        <f>IF(N41="","",(K41*Q41*S41+T41))</f>
        <v/>
      </c>
      <c r="V41" s="146" t="str">
        <f>IF(N41="","",L41*Q41*S41+T41)</f>
        <v/>
      </c>
      <c r="W41" s="146"/>
    </row>
    <row r="42" spans="1:24" ht="14.1" customHeight="1" x14ac:dyDescent="0.15">
      <c r="A42" s="2"/>
      <c r="D42" s="840"/>
      <c r="E42" s="841"/>
      <c r="F42" s="841"/>
      <c r="G42" s="842"/>
      <c r="H42" s="27"/>
      <c r="I42" s="26"/>
      <c r="J42" s="26"/>
      <c r="K42" s="66"/>
      <c r="L42" s="66"/>
      <c r="M42" s="66"/>
      <c r="N42" s="66"/>
      <c r="O42" s="181"/>
      <c r="P42" s="48"/>
      <c r="Q42" s="259"/>
      <c r="R42" s="66"/>
      <c r="S42" s="146" t="str">
        <f>IF(R42='3. Parameters kostprijsmodel'!$C$9,'3. Parameters kostprijsmodel'!$D$9,IF(R42='3. Parameters kostprijsmodel'!$C$10,'3. Parameters kostprijsmodel'!$D$10,IF(R42='3. Parameters kostprijsmodel'!$C$11,'3. Parameters kostprijsmodel'!$D$11,"")))</f>
        <v/>
      </c>
      <c r="T42" s="66"/>
      <c r="U42" s="146" t="str">
        <f>IF(N42="","",(K42*Q42*S42+T42))</f>
        <v/>
      </c>
      <c r="V42" s="146" t="str">
        <f>IF(N42="","",L42*Q42*S42+T42)</f>
        <v/>
      </c>
      <c r="W42" s="146"/>
    </row>
    <row r="43" spans="1:24" ht="14.1" customHeight="1" x14ac:dyDescent="0.15">
      <c r="A43" s="188"/>
      <c r="B43" s="19"/>
      <c r="C43" s="19"/>
      <c r="D43" s="834" t="s">
        <v>316</v>
      </c>
      <c r="E43" s="835"/>
      <c r="F43" s="835"/>
      <c r="G43" s="836"/>
      <c r="H43" s="113" t="s">
        <v>317</v>
      </c>
      <c r="I43" s="114"/>
      <c r="J43" s="114" t="s">
        <v>166</v>
      </c>
      <c r="K43" s="269">
        <f>K37*30%</f>
        <v>0.27181944444444445</v>
      </c>
      <c r="L43" s="269">
        <f>L37*30%</f>
        <v>0.14314999999999997</v>
      </c>
      <c r="M43" s="269">
        <f>M37*30%</f>
        <v>0.10164700854700856</v>
      </c>
      <c r="N43" s="103" t="s">
        <v>275</v>
      </c>
      <c r="O43" s="727" t="s">
        <v>318</v>
      </c>
      <c r="P43" s="843"/>
      <c r="Q43" s="501">
        <v>1</v>
      </c>
      <c r="R43" s="103" t="s">
        <v>169</v>
      </c>
      <c r="S43" s="171">
        <f>IF(R43='3. Parameters kostprijsmodel'!$C$9,'3. Parameters kostprijsmodel'!$D$9,IF(R43='3. Parameters kostprijsmodel'!$C$10,'3. Parameters kostprijsmodel'!$D$10,IF(R43='3. Parameters kostprijsmodel'!$C$11,'3. Parameters kostprijsmodel'!$D$11,"")))</f>
        <v>76.03</v>
      </c>
      <c r="T43" s="115">
        <v>0</v>
      </c>
      <c r="U43" s="172">
        <f>IF($H43="","",(K43*$Q43*$S43+$T43))</f>
        <v>20.666432361111113</v>
      </c>
      <c r="V43" s="172">
        <f>IF($H43="","",(L43*$Q43*$S43+$T43))</f>
        <v>10.883694499999997</v>
      </c>
      <c r="W43" s="172">
        <f>IF($H43="","",(M43*$Q43*$S43+$T43))</f>
        <v>7.7282220598290614</v>
      </c>
    </row>
    <row r="44" spans="1:24" ht="14.1" customHeight="1" x14ac:dyDescent="0.15">
      <c r="A44" s="2"/>
      <c r="D44" s="837"/>
      <c r="E44" s="838"/>
      <c r="F44" s="838"/>
      <c r="G44" s="839"/>
      <c r="H44" s="27"/>
      <c r="I44" s="26"/>
      <c r="J44" s="186"/>
      <c r="K44" s="66"/>
      <c r="L44" s="66"/>
      <c r="M44" s="66"/>
      <c r="N44" s="66"/>
      <c r="O44" s="92"/>
      <c r="P44" s="48"/>
      <c r="Q44" s="259"/>
      <c r="R44" s="66"/>
      <c r="S44" s="146" t="str">
        <f>IF(R44='3. Parameters kostprijsmodel'!$C$9,'3. Parameters kostprijsmodel'!$D$9,IF(R44='3. Parameters kostprijsmodel'!$C$10,'3. Parameters kostprijsmodel'!$D$10,IF(R44='3. Parameters kostprijsmodel'!$C$11,'3. Parameters kostprijsmodel'!$D$11,"")))</f>
        <v/>
      </c>
      <c r="T44" s="66"/>
      <c r="U44" s="146"/>
      <c r="V44" s="146"/>
      <c r="W44" s="146"/>
    </row>
    <row r="45" spans="1:24" ht="14.1" customHeight="1" x14ac:dyDescent="0.15">
      <c r="A45" s="2"/>
      <c r="D45" s="837"/>
      <c r="E45" s="838"/>
      <c r="F45" s="838"/>
      <c r="G45" s="839"/>
      <c r="H45" s="27"/>
      <c r="I45" s="26"/>
      <c r="J45" s="26"/>
      <c r="K45" s="66"/>
      <c r="L45" s="66"/>
      <c r="M45" s="66"/>
      <c r="N45" s="66"/>
      <c r="O45" s="92"/>
      <c r="P45" s="259"/>
      <c r="Q45" s="66"/>
      <c r="R45" s="66"/>
      <c r="S45" s="146" t="str">
        <f>IF(R45='3. Parameters kostprijsmodel'!$C$9,'3. Parameters kostprijsmodel'!$D$9,IF(R45='3. Parameters kostprijsmodel'!$C$10,'3. Parameters kostprijsmodel'!$D$10,IF(R45='3. Parameters kostprijsmodel'!$C$11,'3. Parameters kostprijsmodel'!$D$11,"")))</f>
        <v/>
      </c>
      <c r="T45" s="66"/>
      <c r="U45" s="146" t="str">
        <f>IF(N45="","",(K45*Q45*S45+T45))</f>
        <v/>
      </c>
      <c r="V45" s="146" t="str">
        <f>IF(N45="","",L45*Q45*S45+T45)</f>
        <v/>
      </c>
      <c r="W45" s="146"/>
    </row>
    <row r="46" spans="1:24" ht="14.1" customHeight="1" x14ac:dyDescent="0.15">
      <c r="A46" s="2"/>
      <c r="D46" s="837"/>
      <c r="E46" s="838"/>
      <c r="F46" s="838"/>
      <c r="G46" s="839"/>
      <c r="H46" s="27"/>
      <c r="I46" s="26"/>
      <c r="J46" s="186"/>
      <c r="K46" s="66"/>
      <c r="L46" s="66"/>
      <c r="M46" s="66"/>
      <c r="N46" s="66"/>
      <c r="O46" s="92"/>
      <c r="P46" s="259"/>
      <c r="Q46" s="66"/>
      <c r="R46" s="66"/>
      <c r="S46" s="146" t="str">
        <f>IF(R46='3. Parameters kostprijsmodel'!$C$9,'3. Parameters kostprijsmodel'!$D$9,IF(R46='3. Parameters kostprijsmodel'!$C$10,'3. Parameters kostprijsmodel'!$D$10,IF(R46='3. Parameters kostprijsmodel'!$C$11,'3. Parameters kostprijsmodel'!$D$11,"")))</f>
        <v/>
      </c>
      <c r="T46" s="66"/>
      <c r="U46" s="146" t="str">
        <f>IF(N46="","",(K46*Q46*S46+T46))</f>
        <v/>
      </c>
      <c r="V46" s="146" t="str">
        <f>IF(N46="","",L46*Q46*S46+T46)</f>
        <v/>
      </c>
      <c r="W46" s="146"/>
    </row>
    <row r="47" spans="1:24" ht="14.1" customHeight="1" x14ac:dyDescent="0.15">
      <c r="A47" s="2"/>
      <c r="D47" s="837"/>
      <c r="E47" s="838"/>
      <c r="F47" s="838"/>
      <c r="G47" s="839"/>
      <c r="H47" s="27"/>
      <c r="I47" s="26"/>
      <c r="J47" s="26"/>
      <c r="K47" s="66"/>
      <c r="L47" s="66"/>
      <c r="M47" s="66"/>
      <c r="N47" s="66"/>
      <c r="O47" s="92"/>
      <c r="P47" s="48"/>
      <c r="Q47" s="259"/>
      <c r="R47" s="66"/>
      <c r="S47" s="146" t="str">
        <f>IF(R47='3. Parameters kostprijsmodel'!$C$9,'3. Parameters kostprijsmodel'!$D$9,IF(R47='3. Parameters kostprijsmodel'!$C$10,'3. Parameters kostprijsmodel'!$D$10,IF(R47='3. Parameters kostprijsmodel'!$C$11,'3. Parameters kostprijsmodel'!$D$11,"")))</f>
        <v/>
      </c>
      <c r="T47" s="66"/>
      <c r="U47" s="146" t="str">
        <f>IF(N47="","",(K47*Q47*S47+T47))</f>
        <v/>
      </c>
      <c r="V47" s="146" t="str">
        <f>IF(N47="","",L47*Q47*S47+T47)</f>
        <v/>
      </c>
      <c r="W47" s="146"/>
    </row>
    <row r="48" spans="1:24" ht="14.1" customHeight="1" x14ac:dyDescent="0.15">
      <c r="A48" s="2"/>
      <c r="D48" s="840"/>
      <c r="E48" s="841"/>
      <c r="F48" s="841"/>
      <c r="G48" s="842"/>
      <c r="H48" s="29"/>
      <c r="I48" s="31"/>
      <c r="J48" s="31"/>
      <c r="K48" s="176"/>
      <c r="L48" s="176"/>
      <c r="M48" s="176"/>
      <c r="N48" s="176"/>
      <c r="O48" s="181"/>
      <c r="P48" s="56"/>
      <c r="Q48" s="253"/>
      <c r="R48" s="176"/>
      <c r="S48" s="151" t="str">
        <f>IF(R48='3. Parameters kostprijsmodel'!$C$9,'3. Parameters kostprijsmodel'!$D$9,IF(R48='3. Parameters kostprijsmodel'!$C$10,'3. Parameters kostprijsmodel'!$D$10,IF(R48='3. Parameters kostprijsmodel'!$C$11,'3. Parameters kostprijsmodel'!$D$11,"")))</f>
        <v/>
      </c>
      <c r="T48" s="176"/>
      <c r="U48" s="151" t="str">
        <f>IF(N48="","",(K48*Q48*S48+T48))</f>
        <v/>
      </c>
      <c r="V48" s="151" t="str">
        <f>IF(N48="","",L48*Q48*S48+T48)</f>
        <v/>
      </c>
      <c r="W48" s="146"/>
    </row>
    <row r="49" spans="1:23" ht="14.1" customHeight="1" x14ac:dyDescent="0.15">
      <c r="A49" s="188"/>
      <c r="B49" s="19"/>
      <c r="C49" s="5"/>
      <c r="D49" s="834" t="s">
        <v>319</v>
      </c>
      <c r="E49" s="835"/>
      <c r="F49" s="835"/>
      <c r="G49" s="836"/>
      <c r="H49" s="134" t="s">
        <v>291</v>
      </c>
      <c r="I49" s="132"/>
      <c r="J49" s="532" t="s">
        <v>166</v>
      </c>
      <c r="K49" s="131"/>
      <c r="L49" s="131"/>
      <c r="M49" s="131"/>
      <c r="N49" s="131"/>
      <c r="O49" s="818" t="s">
        <v>320</v>
      </c>
      <c r="P49" s="844"/>
      <c r="Q49" s="254"/>
      <c r="R49" s="254"/>
      <c r="S49" s="254"/>
      <c r="T49" s="254"/>
      <c r="U49" s="254"/>
      <c r="V49" s="254"/>
      <c r="W49" s="254"/>
    </row>
    <row r="50" spans="1:23" ht="14.1" customHeight="1" x14ac:dyDescent="0.15">
      <c r="A50" s="2"/>
      <c r="D50" s="837"/>
      <c r="E50" s="838"/>
      <c r="F50" s="838"/>
      <c r="G50" s="839"/>
      <c r="H50" s="27"/>
      <c r="I50" s="26"/>
      <c r="J50" s="26"/>
      <c r="K50" s="66"/>
      <c r="L50" s="66"/>
      <c r="M50" s="66"/>
      <c r="N50" s="66"/>
      <c r="O50" s="92"/>
      <c r="P50" s="48"/>
      <c r="Q50" s="259"/>
      <c r="R50" s="66"/>
      <c r="S50" s="146" t="str">
        <f>IF(R50='3. Parameters kostprijsmodel'!$C$9,'3. Parameters kostprijsmodel'!$D$9,IF(R50='3. Parameters kostprijsmodel'!$C$10,'3. Parameters kostprijsmodel'!$D$10,IF(R50='3. Parameters kostprijsmodel'!$C$11,'3. Parameters kostprijsmodel'!$D$11,"")))</f>
        <v/>
      </c>
      <c r="T50" s="66"/>
      <c r="U50" s="146" t="str">
        <f>IF(N50="","",(K50*Q50*S50+T50))</f>
        <v/>
      </c>
      <c r="V50" s="146" t="str">
        <f>IF(N50="","",L50*Q50*S50+T50)</f>
        <v/>
      </c>
      <c r="W50" s="146"/>
    </row>
    <row r="51" spans="1:23" ht="14.1" customHeight="1" x14ac:dyDescent="0.15">
      <c r="A51" s="2"/>
      <c r="D51" s="837"/>
      <c r="E51" s="838"/>
      <c r="F51" s="838"/>
      <c r="G51" s="839"/>
      <c r="H51" s="27"/>
      <c r="I51" s="26"/>
      <c r="J51" s="26"/>
      <c r="K51" s="66"/>
      <c r="L51" s="66"/>
      <c r="M51" s="66"/>
      <c r="N51" s="66"/>
      <c r="O51" s="92"/>
      <c r="P51" s="259"/>
      <c r="Q51" s="66"/>
      <c r="R51" s="66"/>
      <c r="S51" s="146" t="str">
        <f>IF(R51='3. Parameters kostprijsmodel'!$C$9,'3. Parameters kostprijsmodel'!$D$9,IF(R51='3. Parameters kostprijsmodel'!$C$10,'3. Parameters kostprijsmodel'!$D$10,IF(R51='3. Parameters kostprijsmodel'!$C$11,'3. Parameters kostprijsmodel'!$D$11,"")))</f>
        <v/>
      </c>
      <c r="T51" s="66"/>
      <c r="U51" s="146" t="str">
        <f>IF(N51="","",(K51*Q51*S51+T51))</f>
        <v/>
      </c>
      <c r="V51" s="146" t="str">
        <f>IF(N51="","",L51*Q51*S51+T51)</f>
        <v/>
      </c>
      <c r="W51" s="146"/>
    </row>
    <row r="52" spans="1:23" ht="14.1" customHeight="1" x14ac:dyDescent="0.15">
      <c r="A52" s="2"/>
      <c r="D52" s="837"/>
      <c r="E52" s="838"/>
      <c r="F52" s="838"/>
      <c r="G52" s="839"/>
      <c r="H52" s="27"/>
      <c r="I52" s="26"/>
      <c r="J52" s="26"/>
      <c r="K52" s="66"/>
      <c r="L52" s="66"/>
      <c r="M52" s="66"/>
      <c r="N52" s="66"/>
      <c r="O52" s="92"/>
      <c r="P52" s="259"/>
      <c r="Q52" s="66"/>
      <c r="R52" s="66"/>
      <c r="S52" s="146" t="str">
        <f>IF(R52='3. Parameters kostprijsmodel'!$C$9,'3. Parameters kostprijsmodel'!$D$9,IF(R52='3. Parameters kostprijsmodel'!$C$10,'3. Parameters kostprijsmodel'!$D$10,IF(R52='3. Parameters kostprijsmodel'!$C$11,'3. Parameters kostprijsmodel'!$D$11,"")))</f>
        <v/>
      </c>
      <c r="T52" s="66"/>
      <c r="U52" s="146" t="str">
        <f>IF(N52="","",(K52*Q52*S52+T52))</f>
        <v/>
      </c>
      <c r="V52" s="146" t="str">
        <f>IF(N52="","",L52*Q52*S52+T52)</f>
        <v/>
      </c>
      <c r="W52" s="146"/>
    </row>
    <row r="53" spans="1:23" ht="14.1" customHeight="1" x14ac:dyDescent="0.15">
      <c r="A53" s="2"/>
      <c r="D53" s="837"/>
      <c r="E53" s="838"/>
      <c r="F53" s="838"/>
      <c r="G53" s="839"/>
      <c r="H53" s="27"/>
      <c r="I53" s="26"/>
      <c r="J53" s="26"/>
      <c r="K53" s="66"/>
      <c r="L53" s="66"/>
      <c r="M53" s="66"/>
      <c r="N53" s="66"/>
      <c r="O53" s="92"/>
      <c r="P53" s="259"/>
      <c r="Q53" s="66"/>
      <c r="R53" s="66"/>
      <c r="S53" s="146" t="str">
        <f>IF(R53='3. Parameters kostprijsmodel'!$C$9,'3. Parameters kostprijsmodel'!$D$9,IF(R53='3. Parameters kostprijsmodel'!$C$10,'3. Parameters kostprijsmodel'!$D$10,IF(R53='3. Parameters kostprijsmodel'!$C$11,'3. Parameters kostprijsmodel'!$D$11,"")))</f>
        <v/>
      </c>
      <c r="T53" s="66"/>
      <c r="U53" s="146" t="str">
        <f>IF(N53="","",(K53*Q53*S53+T53))</f>
        <v/>
      </c>
      <c r="V53" s="146" t="str">
        <f>IF(N53="","",L53*Q53*S53+T53)</f>
        <v/>
      </c>
      <c r="W53" s="146"/>
    </row>
    <row r="54" spans="1:23" ht="14.1" customHeight="1" x14ac:dyDescent="0.15">
      <c r="A54" s="2"/>
      <c r="D54" s="837"/>
      <c r="E54" s="838"/>
      <c r="F54" s="838"/>
      <c r="G54" s="839"/>
      <c r="H54" s="27"/>
      <c r="I54" s="26"/>
      <c r="J54" s="26"/>
      <c r="K54" s="66"/>
      <c r="L54" s="66"/>
      <c r="M54" s="66"/>
      <c r="N54" s="66"/>
      <c r="O54" s="181"/>
      <c r="P54" s="259"/>
      <c r="Q54" s="66"/>
      <c r="R54" s="66"/>
      <c r="S54" s="146" t="str">
        <f>IF(R54='3. Parameters kostprijsmodel'!$C$9,'3. Parameters kostprijsmodel'!$D$9,IF(R54='3. Parameters kostprijsmodel'!$C$10,'3. Parameters kostprijsmodel'!$D$10,IF(R54='3. Parameters kostprijsmodel'!$C$11,'3. Parameters kostprijsmodel'!$D$11,"")))</f>
        <v/>
      </c>
      <c r="T54" s="66"/>
      <c r="U54" s="146" t="str">
        <f>IF(N54="","",(K54*Q54*S54+T54))</f>
        <v/>
      </c>
      <c r="V54" s="146" t="str">
        <f>IF(N54="","",L54*Q54*S54+T54)</f>
        <v/>
      </c>
      <c r="W54" s="146"/>
    </row>
    <row r="55" spans="1:23" ht="14.1" customHeight="1" x14ac:dyDescent="0.15">
      <c r="A55" s="188"/>
      <c r="B55" s="19"/>
      <c r="C55" s="19"/>
      <c r="D55" s="837" t="s">
        <v>321</v>
      </c>
      <c r="E55" s="838"/>
      <c r="F55" s="838"/>
      <c r="G55" s="839"/>
      <c r="H55" s="34" t="s">
        <v>322</v>
      </c>
      <c r="I55" s="35"/>
      <c r="J55" s="35" t="s">
        <v>166</v>
      </c>
      <c r="K55" s="269">
        <f>18/'3. Parameters kostprijsmodel'!C29</f>
        <v>7.1999999999999995E-2</v>
      </c>
      <c r="L55" s="269">
        <f>15.5/'3. Parameters kostprijsmodel'!C29</f>
        <v>6.2E-2</v>
      </c>
      <c r="M55" s="269">
        <f>14.25/'3. Parameters kostprijsmodel'!C29</f>
        <v>5.7000000000000002E-2</v>
      </c>
      <c r="N55" s="67" t="s">
        <v>275</v>
      </c>
      <c r="O55" s="727" t="s">
        <v>276</v>
      </c>
      <c r="P55" s="728"/>
      <c r="Q55" s="71">
        <v>1</v>
      </c>
      <c r="R55" s="67" t="s">
        <v>167</v>
      </c>
      <c r="S55" s="169">
        <f>IF(R55='3. Parameters kostprijsmodel'!$C$9,'3. Parameters kostprijsmodel'!$D$9,IF(R55='3. Parameters kostprijsmodel'!$C$10,'3. Parameters kostprijsmodel'!$D$10,IF(R55='3. Parameters kostprijsmodel'!$C$11,'3. Parameters kostprijsmodel'!$D$11,"")))</f>
        <v>91.68</v>
      </c>
      <c r="T55" s="71">
        <v>0</v>
      </c>
      <c r="U55" s="147">
        <f t="shared" ref="U55:W56" si="6">IF($H55="","",(K55*$Q55*$S55+$T55))</f>
        <v>6.6009599999999997</v>
      </c>
      <c r="V55" s="147">
        <f t="shared" si="6"/>
        <v>5.6841600000000003</v>
      </c>
      <c r="W55" s="147">
        <f t="shared" si="6"/>
        <v>5.2257600000000002</v>
      </c>
    </row>
    <row r="56" spans="1:23" ht="14.1" customHeight="1" x14ac:dyDescent="0.15">
      <c r="A56" s="2"/>
      <c r="D56" s="837"/>
      <c r="E56" s="838"/>
      <c r="F56" s="838"/>
      <c r="G56" s="839"/>
      <c r="H56" s="733" t="s">
        <v>295</v>
      </c>
      <c r="I56" s="734"/>
      <c r="J56" s="43" t="s">
        <v>166</v>
      </c>
      <c r="K56" s="269">
        <f>14/'3. Parameters kostprijsmodel'!C29</f>
        <v>5.6000000000000001E-2</v>
      </c>
      <c r="L56" s="269">
        <f>11.5/'3. Parameters kostprijsmodel'!C29</f>
        <v>4.5999999999999999E-2</v>
      </c>
      <c r="M56" s="269">
        <f>10.25/'3. Parameters kostprijsmodel'!C29</f>
        <v>4.1000000000000002E-2</v>
      </c>
      <c r="N56" s="67" t="s">
        <v>275</v>
      </c>
      <c r="O56" s="727" t="s">
        <v>276</v>
      </c>
      <c r="P56" s="728"/>
      <c r="Q56" s="74">
        <v>1</v>
      </c>
      <c r="R56" s="104" t="s">
        <v>167</v>
      </c>
      <c r="S56" s="170">
        <f>IF(R56='3. Parameters kostprijsmodel'!$C$9,'3. Parameters kostprijsmodel'!$D$9,IF(R56='3. Parameters kostprijsmodel'!$C$10,'3. Parameters kostprijsmodel'!$D$10,IF(R56='3. Parameters kostprijsmodel'!$C$11,'3. Parameters kostprijsmodel'!$D$11,"")))</f>
        <v>91.68</v>
      </c>
      <c r="T56" s="74">
        <v>0</v>
      </c>
      <c r="U56" s="147">
        <f t="shared" si="6"/>
        <v>5.1340800000000009</v>
      </c>
      <c r="V56" s="147">
        <f t="shared" si="6"/>
        <v>4.2172800000000006</v>
      </c>
      <c r="W56" s="147">
        <f t="shared" si="6"/>
        <v>3.7588800000000004</v>
      </c>
    </row>
    <row r="57" spans="1:23" ht="14.1" customHeight="1" x14ac:dyDescent="0.15">
      <c r="A57" s="2"/>
      <c r="D57" s="837"/>
      <c r="E57" s="838"/>
      <c r="F57" s="838"/>
      <c r="G57" s="839"/>
      <c r="H57" s="38"/>
      <c r="I57" s="45"/>
      <c r="J57" s="45"/>
      <c r="K57" s="257"/>
      <c r="L57" s="257"/>
      <c r="M57" s="257"/>
      <c r="N57" s="257"/>
      <c r="O57" s="251"/>
      <c r="P57" s="252"/>
      <c r="Q57" s="257"/>
      <c r="R57" s="257"/>
      <c r="S57" s="150" t="str">
        <f>IF(R57='3. Parameters kostprijsmodel'!$C$9,'3. Parameters kostprijsmodel'!$D$9,IF(R57='3. Parameters kostprijsmodel'!$C$10,'3. Parameters kostprijsmodel'!$D$10,IF(R57='3. Parameters kostprijsmodel'!$C$11,'3. Parameters kostprijsmodel'!$D$11,"")))</f>
        <v/>
      </c>
      <c r="T57" s="257"/>
      <c r="U57" s="150" t="str">
        <f>IF(N57="","",(K57*Q57*S57+T57))</f>
        <v/>
      </c>
      <c r="V57" s="150" t="str">
        <f>IF(N57="","",L57*Q57*S57+T57)</f>
        <v/>
      </c>
      <c r="W57" s="146"/>
    </row>
    <row r="58" spans="1:23" ht="14.1" customHeight="1" x14ac:dyDescent="0.15">
      <c r="A58" s="2"/>
      <c r="D58" s="837"/>
      <c r="E58" s="838"/>
      <c r="F58" s="838"/>
      <c r="G58" s="839"/>
      <c r="H58" s="27"/>
      <c r="I58" s="26"/>
      <c r="J58" s="186"/>
      <c r="K58" s="66"/>
      <c r="L58" s="66"/>
      <c r="M58" s="66"/>
      <c r="N58" s="66"/>
      <c r="O58" s="92"/>
      <c r="P58" s="259"/>
      <c r="Q58" s="72"/>
      <c r="R58" s="66"/>
      <c r="S58" s="146" t="str">
        <f>IF(R58='3. Parameters kostprijsmodel'!$C$9,'3. Parameters kostprijsmodel'!$D$9,IF(R58='3. Parameters kostprijsmodel'!$C$10,'3. Parameters kostprijsmodel'!$D$10,IF(R58='3. Parameters kostprijsmodel'!$C$11,'3. Parameters kostprijsmodel'!$D$11,"")))</f>
        <v/>
      </c>
      <c r="T58" s="72"/>
      <c r="U58" s="153" t="str">
        <f>IF(N58="","",(K58*Q58*S58+T58))</f>
        <v/>
      </c>
      <c r="V58" s="153" t="str">
        <f>IF(N58="","",L58*Q58*S58+T58)</f>
        <v/>
      </c>
      <c r="W58" s="153"/>
    </row>
    <row r="59" spans="1:23" ht="14.1" customHeight="1" x14ac:dyDescent="0.15">
      <c r="A59" s="2"/>
      <c r="D59" s="837"/>
      <c r="E59" s="838"/>
      <c r="F59" s="838"/>
      <c r="G59" s="839"/>
      <c r="H59" s="27"/>
      <c r="I59" s="26"/>
      <c r="J59" s="26"/>
      <c r="K59" s="66"/>
      <c r="L59" s="66"/>
      <c r="M59" s="66"/>
      <c r="N59" s="66"/>
      <c r="O59" s="92"/>
      <c r="P59" s="259"/>
      <c r="Q59" s="72"/>
      <c r="R59" s="66"/>
      <c r="S59" s="146" t="str">
        <f>IF(R59='3. Parameters kostprijsmodel'!$C$9,'3. Parameters kostprijsmodel'!$D$9,IF(R59='3. Parameters kostprijsmodel'!$C$10,'3. Parameters kostprijsmodel'!$D$10,IF(R59='3. Parameters kostprijsmodel'!$C$11,'3. Parameters kostprijsmodel'!$D$11,"")))</f>
        <v/>
      </c>
      <c r="T59" s="72"/>
      <c r="U59" s="153" t="str">
        <f>IF(N59="","",(K59*Q59*S59+T59))</f>
        <v/>
      </c>
      <c r="V59" s="153" t="str">
        <f>IF(N59="","",L59*Q59*S59+T59)</f>
        <v/>
      </c>
      <c r="W59" s="153"/>
    </row>
    <row r="60" spans="1:23" ht="14.1" customHeight="1" x14ac:dyDescent="0.15">
      <c r="A60" s="187"/>
      <c r="B60" s="20"/>
      <c r="C60" s="20"/>
      <c r="D60" s="840"/>
      <c r="E60" s="841"/>
      <c r="F60" s="841"/>
      <c r="G60" s="842"/>
      <c r="H60" s="29"/>
      <c r="I60" s="31"/>
      <c r="J60" s="31"/>
      <c r="K60" s="76"/>
      <c r="L60" s="76"/>
      <c r="M60" s="76"/>
      <c r="N60" s="76"/>
      <c r="O60" s="181"/>
      <c r="P60" s="253"/>
      <c r="Q60" s="76"/>
      <c r="R60" s="76"/>
      <c r="S60" s="145" t="str">
        <f>IF(R60='3. Parameters kostprijsmodel'!$C$9,'3. Parameters kostprijsmodel'!$D$9,IF(R60='3. Parameters kostprijsmodel'!$C$10,'3. Parameters kostprijsmodel'!$D$10,IF(R60='3. Parameters kostprijsmodel'!$C$11,'3. Parameters kostprijsmodel'!$D$11,"")))</f>
        <v/>
      </c>
      <c r="T60" s="76"/>
      <c r="U60" s="145" t="str">
        <f>IF(N60="","",(K60*Q60*S60+T60))</f>
        <v/>
      </c>
      <c r="V60" s="145" t="str">
        <f>IF(N60="","",L60*Q60*S60+T60)</f>
        <v/>
      </c>
      <c r="W60" s="153"/>
    </row>
    <row r="61" spans="1:23" ht="14.1" customHeight="1" x14ac:dyDescent="0.15">
      <c r="A61" s="188"/>
      <c r="B61" s="19"/>
      <c r="C61" s="19"/>
      <c r="D61" s="834" t="s">
        <v>323</v>
      </c>
      <c r="E61" s="835"/>
      <c r="F61" s="835"/>
      <c r="G61" s="836"/>
      <c r="H61" s="731" t="s">
        <v>324</v>
      </c>
      <c r="I61" s="732"/>
      <c r="J61" s="35" t="s">
        <v>171</v>
      </c>
      <c r="K61" s="269">
        <f>3.91666666666667/'3. Parameters kostprijsmodel'!C29</f>
        <v>1.5666666666666679E-2</v>
      </c>
      <c r="L61" s="269">
        <f>3.5/'3. Parameters kostprijsmodel'!C29</f>
        <v>1.4E-2</v>
      </c>
      <c r="M61" s="269">
        <f>3.5/'3. Parameters kostprijsmodel'!C29</f>
        <v>1.4E-2</v>
      </c>
      <c r="N61" s="67" t="s">
        <v>275</v>
      </c>
      <c r="O61" s="727" t="s">
        <v>276</v>
      </c>
      <c r="P61" s="843"/>
      <c r="Q61" s="255">
        <v>1</v>
      </c>
      <c r="R61" s="67" t="s">
        <v>172</v>
      </c>
      <c r="S61" s="169">
        <f>IF(R61='3. Parameters kostprijsmodel'!$C$9,'3. Parameters kostprijsmodel'!$D$9,IF(R61='3. Parameters kostprijsmodel'!$C$10,'3. Parameters kostprijsmodel'!$D$10,IF(R61='3. Parameters kostprijsmodel'!$C$11,'3. Parameters kostprijsmodel'!$D$11,"")))</f>
        <v>66.255819148936169</v>
      </c>
      <c r="T61" s="71">
        <v>0</v>
      </c>
      <c r="U61" s="147">
        <f t="shared" ref="U61:W62" si="7">IF($H61="","",(K61*$Q61*$S61+$T61))</f>
        <v>1.0380078333333342</v>
      </c>
      <c r="V61" s="147">
        <f t="shared" si="7"/>
        <v>0.92758146808510633</v>
      </c>
      <c r="W61" s="147">
        <f t="shared" si="7"/>
        <v>0.92758146808510633</v>
      </c>
    </row>
    <row r="62" spans="1:23" ht="14.1" customHeight="1" x14ac:dyDescent="0.15">
      <c r="A62" s="2"/>
      <c r="D62" s="837"/>
      <c r="E62" s="838"/>
      <c r="F62" s="838"/>
      <c r="G62" s="839"/>
      <c r="H62" s="32" t="s">
        <v>325</v>
      </c>
      <c r="I62" s="43"/>
      <c r="J62" s="43" t="s">
        <v>171</v>
      </c>
      <c r="K62" s="269">
        <f>7.41666666666667/'3. Parameters kostprijsmodel'!C29</f>
        <v>2.9666666666666678E-2</v>
      </c>
      <c r="L62" s="269">
        <f>6.58333333333333/'3. Parameters kostprijsmodel'!C29</f>
        <v>2.6333333333333323E-2</v>
      </c>
      <c r="M62" s="269">
        <f>6.16666666666667/'3. Parameters kostprijsmodel'!C29</f>
        <v>2.4666666666666677E-2</v>
      </c>
      <c r="N62" s="67" t="s">
        <v>275</v>
      </c>
      <c r="O62" s="727" t="s">
        <v>276</v>
      </c>
      <c r="P62" s="843"/>
      <c r="Q62" s="289">
        <v>1</v>
      </c>
      <c r="R62" s="104" t="s">
        <v>172</v>
      </c>
      <c r="S62" s="170">
        <f>IF(R62='3. Parameters kostprijsmodel'!$C$9,'3. Parameters kostprijsmodel'!$D$9,IF(R62='3. Parameters kostprijsmodel'!$C$10,'3. Parameters kostprijsmodel'!$D$10,IF(R62='3. Parameters kostprijsmodel'!$C$11,'3. Parameters kostprijsmodel'!$D$11,"")))</f>
        <v>66.255819148936169</v>
      </c>
      <c r="T62" s="68">
        <v>0</v>
      </c>
      <c r="U62" s="147">
        <f t="shared" si="7"/>
        <v>1.9655893014184405</v>
      </c>
      <c r="V62" s="147">
        <f t="shared" si="7"/>
        <v>1.7447365709219851</v>
      </c>
      <c r="W62" s="147">
        <f t="shared" si="7"/>
        <v>1.6343102056737595</v>
      </c>
    </row>
    <row r="63" spans="1:23" ht="14.1" customHeight="1" x14ac:dyDescent="0.15">
      <c r="A63" s="2"/>
      <c r="D63" s="837"/>
      <c r="E63" s="838"/>
      <c r="F63" s="838"/>
      <c r="G63" s="839"/>
      <c r="H63" s="38"/>
      <c r="I63" s="45"/>
      <c r="J63" s="192"/>
      <c r="K63" s="52"/>
      <c r="L63" s="52"/>
      <c r="M63" s="52"/>
      <c r="N63" s="257"/>
      <c r="O63" s="251"/>
      <c r="P63" s="49"/>
      <c r="Q63" s="252"/>
      <c r="R63" s="257"/>
      <c r="S63" s="150" t="str">
        <f>IF(R63='3. Parameters kostprijsmodel'!$C$9,'3. Parameters kostprijsmodel'!$D$9,IF(R63='3. Parameters kostprijsmodel'!$C$10,'3. Parameters kostprijsmodel'!$D$10,IF(R63='3. Parameters kostprijsmodel'!$C$11,'3. Parameters kostprijsmodel'!$D$11,"")))</f>
        <v/>
      </c>
      <c r="T63" s="257"/>
      <c r="U63" s="150" t="str">
        <f>IF(N63="","",(K63*Q63*S63+T63))</f>
        <v/>
      </c>
      <c r="V63" s="150" t="str">
        <f>IF(N63="","",L63*Q63*S63+T63)</f>
        <v/>
      </c>
      <c r="W63" s="146"/>
    </row>
    <row r="64" spans="1:23" ht="14.1" customHeight="1" x14ac:dyDescent="0.15">
      <c r="A64" s="2"/>
      <c r="D64" s="837"/>
      <c r="E64" s="838"/>
      <c r="F64" s="838"/>
      <c r="G64" s="839"/>
      <c r="H64" s="27"/>
      <c r="I64" s="26"/>
      <c r="J64" s="26"/>
      <c r="K64" s="72"/>
      <c r="L64" s="72"/>
      <c r="M64" s="72"/>
      <c r="N64" s="72"/>
      <c r="O64" s="92"/>
      <c r="P64" s="48"/>
      <c r="Q64" s="259"/>
      <c r="R64" s="72"/>
      <c r="S64" s="153" t="str">
        <f>IF(R64='3. Parameters kostprijsmodel'!$C$9,'3. Parameters kostprijsmodel'!$D$9,IF(R64='3. Parameters kostprijsmodel'!$C$10,'3. Parameters kostprijsmodel'!$D$10,IF(R64='3. Parameters kostprijsmodel'!$C$11,'3. Parameters kostprijsmodel'!$D$11,"")))</f>
        <v/>
      </c>
      <c r="T64" s="66"/>
      <c r="U64" s="146" t="str">
        <f>IF(N64="","",(K64*Q64*S64+T64))</f>
        <v/>
      </c>
      <c r="V64" s="146" t="str">
        <f>IF(N64="","",L64*Q64*S64+T64)</f>
        <v/>
      </c>
      <c r="W64" s="146"/>
    </row>
    <row r="65" spans="1:28" ht="14.1" customHeight="1" x14ac:dyDescent="0.15">
      <c r="A65" s="2"/>
      <c r="D65" s="837"/>
      <c r="E65" s="838"/>
      <c r="F65" s="838"/>
      <c r="G65" s="839"/>
      <c r="H65" s="27"/>
      <c r="I65" s="26"/>
      <c r="J65" s="186"/>
      <c r="K65" s="72"/>
      <c r="L65" s="72"/>
      <c r="M65" s="72"/>
      <c r="N65" s="72"/>
      <c r="O65" s="92"/>
      <c r="P65" s="48"/>
      <c r="Q65" s="259"/>
      <c r="R65" s="72"/>
      <c r="S65" s="153" t="str">
        <f>IF(R65='3. Parameters kostprijsmodel'!$C$9,'3. Parameters kostprijsmodel'!$D$9,IF(R65='3. Parameters kostprijsmodel'!$C$10,'3. Parameters kostprijsmodel'!$D$10,IF(R65='3. Parameters kostprijsmodel'!$C$11,'3. Parameters kostprijsmodel'!$D$11,"")))</f>
        <v/>
      </c>
      <c r="T65" s="66"/>
      <c r="U65" s="146" t="str">
        <f>IF(N65="","",(K65*Q65*S65+T65))</f>
        <v/>
      </c>
      <c r="V65" s="146" t="str">
        <f>IF(N65="","",L65*Q65*S65+T65)</f>
        <v/>
      </c>
      <c r="W65" s="146"/>
    </row>
    <row r="66" spans="1:28" ht="14.1" customHeight="1" x14ac:dyDescent="0.15">
      <c r="A66" s="187"/>
      <c r="B66" s="20"/>
      <c r="C66" s="20"/>
      <c r="D66" s="840"/>
      <c r="E66" s="841"/>
      <c r="F66" s="841"/>
      <c r="G66" s="842"/>
      <c r="H66" s="29"/>
      <c r="I66" s="31"/>
      <c r="J66" s="190"/>
      <c r="K66" s="76"/>
      <c r="L66" s="76"/>
      <c r="M66" s="76"/>
      <c r="N66" s="76"/>
      <c r="O66" s="181"/>
      <c r="P66" s="253"/>
      <c r="Q66" s="76"/>
      <c r="R66" s="76"/>
      <c r="S66" s="145" t="str">
        <f>IF(R66='3. Parameters kostprijsmodel'!$C$9,'3. Parameters kostprijsmodel'!$D$9,IF(R66='3. Parameters kostprijsmodel'!$C$10,'3. Parameters kostprijsmodel'!$D$10,IF(R66='3. Parameters kostprijsmodel'!$C$11,'3. Parameters kostprijsmodel'!$D$11,"")))</f>
        <v/>
      </c>
      <c r="T66" s="76"/>
      <c r="U66" s="145" t="str">
        <f>IF(N66="","",(K66*Q66*S66+T66))</f>
        <v/>
      </c>
      <c r="V66" s="153" t="str">
        <f>IF(N66="","",L66*Q66*S66+T66)</f>
        <v/>
      </c>
      <c r="W66" s="153"/>
    </row>
    <row r="67" spans="1:28" ht="14.1" customHeight="1" x14ac:dyDescent="0.15">
      <c r="A67" s="10"/>
      <c r="B67" s="11"/>
      <c r="C67" s="11"/>
      <c r="D67" s="11"/>
      <c r="E67" s="21"/>
      <c r="F67" s="21"/>
      <c r="G67" s="21"/>
      <c r="H67" s="21"/>
      <c r="I67" s="530"/>
      <c r="J67" s="110"/>
      <c r="K67" s="84"/>
      <c r="L67" s="84"/>
      <c r="M67" s="84"/>
      <c r="N67" s="84"/>
      <c r="O67" s="121"/>
      <c r="P67" s="121"/>
      <c r="Q67" s="84"/>
      <c r="R67" s="84"/>
      <c r="S67" s="84"/>
      <c r="T67" s="84"/>
      <c r="U67" s="84"/>
      <c r="V67" s="14"/>
      <c r="W67" s="15"/>
    </row>
    <row r="68" spans="1:28" ht="14.1" customHeight="1" x14ac:dyDescent="0.15">
      <c r="A68" s="12"/>
      <c r="B68" s="13"/>
      <c r="C68" s="13"/>
      <c r="D68" s="13"/>
      <c r="E68" s="13"/>
      <c r="F68" s="13"/>
      <c r="G68" s="13"/>
      <c r="H68" s="13"/>
      <c r="I68" s="531"/>
      <c r="J68" s="111"/>
      <c r="K68" s="85"/>
      <c r="L68" s="85"/>
      <c r="M68" s="85"/>
      <c r="N68" s="85"/>
      <c r="O68" s="122"/>
      <c r="P68" s="122"/>
      <c r="Q68" s="85"/>
      <c r="R68" s="85"/>
      <c r="S68" s="85"/>
      <c r="T68" s="85"/>
      <c r="U68" s="85"/>
      <c r="V68" s="16"/>
      <c r="W68" s="17"/>
    </row>
    <row r="69" spans="1:28" s="8" customFormat="1" ht="14.1" customHeight="1" x14ac:dyDescent="0.15">
      <c r="A69" s="3"/>
      <c r="B69" s="3"/>
      <c r="C69" s="3"/>
      <c r="D69" s="3"/>
      <c r="E69" s="3"/>
      <c r="F69" s="3"/>
      <c r="G69" s="3"/>
      <c r="H69" s="3"/>
      <c r="I69" s="112"/>
      <c r="J69" s="112"/>
      <c r="K69" s="86"/>
      <c r="L69" s="86"/>
      <c r="M69" s="86"/>
      <c r="N69" s="86"/>
      <c r="O69" s="123"/>
      <c r="P69" s="123"/>
      <c r="Q69" s="86"/>
      <c r="R69" s="86"/>
      <c r="S69" s="86"/>
      <c r="T69" s="86"/>
      <c r="U69" s="86"/>
      <c r="X69" s="3"/>
      <c r="Y69" s="3"/>
      <c r="Z69" s="3"/>
      <c r="AA69" s="3"/>
      <c r="AB69" s="3"/>
    </row>
    <row r="70" spans="1:28" s="8" customFormat="1" ht="14.1" customHeight="1" x14ac:dyDescent="0.15">
      <c r="A70" s="3"/>
      <c r="B70" s="3"/>
      <c r="C70" s="3"/>
      <c r="D70" s="3"/>
      <c r="E70" s="3"/>
      <c r="F70" s="3"/>
      <c r="G70" s="3"/>
      <c r="H70" s="3"/>
      <c r="I70" s="112"/>
      <c r="J70" s="112"/>
      <c r="K70" s="86"/>
      <c r="L70" s="86"/>
      <c r="M70" s="86"/>
      <c r="N70" s="86"/>
      <c r="O70" s="123"/>
      <c r="P70" s="123"/>
      <c r="Q70" s="86"/>
      <c r="R70" s="86"/>
      <c r="S70" s="86"/>
      <c r="T70" s="86"/>
      <c r="U70" s="86"/>
      <c r="X70" s="3"/>
      <c r="Y70" s="3"/>
      <c r="Z70" s="3"/>
      <c r="AA70" s="3"/>
      <c r="AB70" s="3"/>
    </row>
    <row r="71" spans="1:28" s="8" customFormat="1" ht="14.1" customHeight="1" x14ac:dyDescent="0.15">
      <c r="A71" s="3"/>
      <c r="B71" s="3"/>
      <c r="C71" s="3"/>
      <c r="D71" s="3"/>
      <c r="E71" s="3"/>
      <c r="F71" s="3"/>
      <c r="G71" s="3"/>
      <c r="H71" s="3"/>
      <c r="I71" s="112"/>
      <c r="J71" s="112"/>
      <c r="K71" s="86"/>
      <c r="L71" s="86"/>
      <c r="M71" s="86"/>
      <c r="N71" s="86"/>
      <c r="O71" s="123"/>
      <c r="P71" s="123"/>
      <c r="Q71" s="86"/>
      <c r="R71" s="86"/>
      <c r="S71" s="86"/>
      <c r="T71" s="86"/>
      <c r="U71" s="86"/>
      <c r="X71" s="3"/>
      <c r="Y71" s="3"/>
      <c r="Z71" s="3"/>
      <c r="AA71" s="3"/>
      <c r="AB71" s="3"/>
    </row>
    <row r="72" spans="1:28" s="8" customFormat="1" ht="14.1" customHeight="1" x14ac:dyDescent="0.15">
      <c r="A72" s="3"/>
      <c r="B72" s="3"/>
      <c r="C72" s="3"/>
      <c r="D72" s="3"/>
      <c r="E72" s="3"/>
      <c r="F72" s="3"/>
      <c r="G72" s="3"/>
      <c r="H72" s="3"/>
      <c r="I72" s="112"/>
      <c r="J72" s="112"/>
      <c r="K72" s="86"/>
      <c r="L72" s="86"/>
      <c r="M72" s="86"/>
      <c r="N72" s="86"/>
      <c r="O72" s="123"/>
      <c r="P72" s="123"/>
      <c r="Q72" s="86"/>
      <c r="R72" s="86"/>
      <c r="S72" s="86"/>
      <c r="T72" s="86"/>
      <c r="U72" s="86"/>
      <c r="X72" s="3"/>
      <c r="Y72" s="3"/>
      <c r="Z72" s="3"/>
      <c r="AA72" s="3"/>
      <c r="AB72" s="3"/>
    </row>
    <row r="73" spans="1:28" s="8" customFormat="1" ht="14.1" customHeight="1" x14ac:dyDescent="0.15">
      <c r="A73" s="3"/>
      <c r="B73" s="3"/>
      <c r="C73" s="3"/>
      <c r="D73" s="3"/>
      <c r="E73" s="3"/>
      <c r="F73" s="3"/>
      <c r="G73" s="3"/>
      <c r="H73" s="3"/>
      <c r="I73" s="112"/>
      <c r="J73" s="112"/>
      <c r="K73" s="86"/>
      <c r="L73" s="86"/>
      <c r="M73" s="86"/>
      <c r="N73" s="86"/>
      <c r="O73" s="123"/>
      <c r="P73" s="123"/>
      <c r="Q73" s="86"/>
      <c r="R73" s="86"/>
      <c r="S73" s="86"/>
      <c r="T73" s="86"/>
      <c r="U73" s="86"/>
      <c r="X73" s="3"/>
      <c r="Y73" s="3"/>
      <c r="Z73" s="3"/>
      <c r="AA73" s="3"/>
      <c r="AB73" s="3"/>
    </row>
    <row r="74" spans="1:28" s="8" customFormat="1" ht="14.1" customHeight="1" x14ac:dyDescent="0.15">
      <c r="A74" s="3"/>
      <c r="B74" s="3"/>
      <c r="C74" s="3"/>
      <c r="D74" s="3"/>
      <c r="E74" s="3"/>
      <c r="F74" s="3"/>
      <c r="G74" s="3"/>
      <c r="H74" s="3"/>
      <c r="I74" s="112"/>
      <c r="J74" s="112"/>
      <c r="K74" s="86"/>
      <c r="L74" s="86"/>
      <c r="M74" s="86"/>
      <c r="N74" s="86"/>
      <c r="O74" s="123"/>
      <c r="P74" s="123"/>
      <c r="Q74" s="86"/>
      <c r="R74" s="86"/>
      <c r="S74" s="86"/>
      <c r="T74" s="86"/>
      <c r="U74" s="86"/>
      <c r="X74" s="3"/>
      <c r="Y74" s="3"/>
      <c r="Z74" s="3"/>
      <c r="AA74" s="3"/>
      <c r="AB74" s="3"/>
    </row>
    <row r="75" spans="1:28" s="8" customFormat="1" ht="14.1" customHeight="1" x14ac:dyDescent="0.15">
      <c r="A75" s="3"/>
      <c r="B75" s="3"/>
      <c r="C75" s="3"/>
      <c r="D75" s="3"/>
      <c r="E75" s="3"/>
      <c r="F75" s="3"/>
      <c r="G75" s="3"/>
      <c r="H75" s="3"/>
      <c r="I75" s="112"/>
      <c r="J75" s="112"/>
      <c r="K75" s="86"/>
      <c r="L75" s="86"/>
      <c r="M75" s="86"/>
      <c r="N75" s="86"/>
      <c r="O75" s="123"/>
      <c r="P75" s="123"/>
      <c r="Q75" s="86"/>
      <c r="R75" s="86"/>
      <c r="S75" s="86"/>
      <c r="T75" s="86"/>
      <c r="U75" s="86"/>
      <c r="X75" s="3"/>
      <c r="Y75" s="3"/>
      <c r="Z75" s="3"/>
      <c r="AA75" s="3"/>
      <c r="AB75" s="3"/>
    </row>
    <row r="76" spans="1:28" s="8" customFormat="1" ht="14.1" customHeight="1" x14ac:dyDescent="0.15">
      <c r="A76" s="3"/>
      <c r="B76" s="3"/>
      <c r="C76" s="3"/>
      <c r="D76" s="3"/>
      <c r="E76" s="3"/>
      <c r="F76" s="3"/>
      <c r="G76" s="3"/>
      <c r="H76" s="3"/>
      <c r="I76" s="112"/>
      <c r="J76" s="112"/>
      <c r="K76" s="86"/>
      <c r="L76" s="86"/>
      <c r="M76" s="86"/>
      <c r="N76" s="86"/>
      <c r="O76" s="123"/>
      <c r="P76" s="123"/>
      <c r="Q76" s="86"/>
      <c r="R76" s="86"/>
      <c r="S76" s="86"/>
      <c r="T76" s="86"/>
      <c r="U76" s="86"/>
      <c r="X76" s="3"/>
      <c r="Y76" s="3"/>
      <c r="Z76" s="3"/>
      <c r="AA76" s="3"/>
      <c r="AB76" s="3"/>
    </row>
    <row r="77" spans="1:28" s="8" customFormat="1" ht="14.1" customHeight="1" x14ac:dyDescent="0.15">
      <c r="A77" s="3"/>
      <c r="B77" s="3"/>
      <c r="C77" s="3"/>
      <c r="D77" s="3"/>
      <c r="E77" s="3"/>
      <c r="F77" s="3"/>
      <c r="G77" s="3"/>
      <c r="H77" s="3"/>
      <c r="I77" s="112"/>
      <c r="J77" s="112"/>
      <c r="K77" s="86"/>
      <c r="L77" s="86"/>
      <c r="M77" s="86"/>
      <c r="N77" s="86"/>
      <c r="O77" s="123"/>
      <c r="P77" s="123"/>
      <c r="Q77" s="86"/>
      <c r="R77" s="86"/>
      <c r="S77" s="86"/>
      <c r="T77" s="86"/>
      <c r="U77" s="86"/>
      <c r="X77" s="3"/>
      <c r="Y77" s="3"/>
      <c r="Z77" s="3"/>
      <c r="AA77" s="3"/>
      <c r="AB77" s="3"/>
    </row>
    <row r="78" spans="1:28" s="8" customFormat="1" ht="14.1" customHeight="1" x14ac:dyDescent="0.15">
      <c r="A78" s="3"/>
      <c r="B78" s="3"/>
      <c r="C78" s="3"/>
      <c r="D78" s="3"/>
      <c r="E78" s="3"/>
      <c r="F78" s="3"/>
      <c r="G78" s="3"/>
      <c r="H78" s="3"/>
      <c r="I78" s="112"/>
      <c r="J78" s="112"/>
      <c r="K78" s="86"/>
      <c r="L78" s="86"/>
      <c r="M78" s="86"/>
      <c r="N78" s="86"/>
      <c r="O78" s="123"/>
      <c r="P78" s="123"/>
      <c r="Q78" s="86"/>
      <c r="R78" s="86"/>
      <c r="S78" s="86"/>
      <c r="T78" s="86"/>
      <c r="U78" s="86"/>
      <c r="X78" s="3"/>
      <c r="Y78" s="3"/>
      <c r="Z78" s="3"/>
      <c r="AA78" s="3"/>
      <c r="AB78" s="3"/>
    </row>
    <row r="79" spans="1:28" s="8" customFormat="1" ht="14.1" customHeight="1" x14ac:dyDescent="0.15">
      <c r="A79" s="3"/>
      <c r="B79" s="3"/>
      <c r="C79" s="3"/>
      <c r="D79" s="3"/>
      <c r="E79" s="3"/>
      <c r="F79" s="3"/>
      <c r="G79" s="3"/>
      <c r="H79" s="3"/>
      <c r="I79" s="112"/>
      <c r="J79" s="112"/>
      <c r="K79" s="86"/>
      <c r="L79" s="86"/>
      <c r="M79" s="86"/>
      <c r="N79" s="86"/>
      <c r="O79" s="123"/>
      <c r="P79" s="123"/>
      <c r="Q79" s="86"/>
      <c r="R79" s="86"/>
      <c r="S79" s="86"/>
      <c r="T79" s="86"/>
      <c r="U79" s="86"/>
      <c r="X79" s="3"/>
      <c r="Y79" s="3"/>
      <c r="Z79" s="3"/>
      <c r="AA79" s="3"/>
      <c r="AB79" s="3"/>
    </row>
    <row r="80" spans="1:28" s="8" customFormat="1" ht="14.1" customHeight="1" x14ac:dyDescent="0.15">
      <c r="A80" s="3"/>
      <c r="B80" s="3"/>
      <c r="C80" s="3"/>
      <c r="D80" s="3"/>
      <c r="E80" s="3"/>
      <c r="F80" s="3"/>
      <c r="G80" s="3"/>
      <c r="H80" s="3"/>
      <c r="I80" s="112"/>
      <c r="J80" s="112"/>
      <c r="K80" s="86"/>
      <c r="L80" s="86"/>
      <c r="M80" s="86"/>
      <c r="N80" s="86"/>
      <c r="O80" s="123"/>
      <c r="P80" s="123"/>
      <c r="Q80" s="86"/>
      <c r="R80" s="86"/>
      <c r="S80" s="86"/>
      <c r="T80" s="86"/>
      <c r="U80" s="86"/>
      <c r="X80" s="3"/>
      <c r="Y80" s="3"/>
      <c r="Z80" s="3"/>
      <c r="AA80" s="3"/>
      <c r="AB80" s="3"/>
    </row>
    <row r="81" spans="1:28" s="8" customFormat="1" ht="14.1" customHeight="1" x14ac:dyDescent="0.15">
      <c r="A81" s="3"/>
      <c r="B81" s="3"/>
      <c r="C81" s="3"/>
      <c r="D81" s="3"/>
      <c r="E81" s="3"/>
      <c r="F81" s="3"/>
      <c r="G81" s="3"/>
      <c r="H81" s="3"/>
      <c r="I81" s="112"/>
      <c r="J81" s="112"/>
      <c r="K81" s="86"/>
      <c r="L81" s="86"/>
      <c r="M81" s="86"/>
      <c r="N81" s="86"/>
      <c r="O81" s="123"/>
      <c r="P81" s="123"/>
      <c r="Q81" s="86"/>
      <c r="R81" s="86"/>
      <c r="S81" s="86"/>
      <c r="T81" s="86"/>
      <c r="U81" s="86"/>
      <c r="X81" s="3"/>
      <c r="Y81" s="3"/>
      <c r="Z81" s="3"/>
      <c r="AA81" s="3"/>
      <c r="AB81" s="3"/>
    </row>
    <row r="82" spans="1:28" s="8" customFormat="1" ht="14.1" customHeight="1" x14ac:dyDescent="0.15">
      <c r="A82" s="3"/>
      <c r="B82" s="3"/>
      <c r="C82" s="3"/>
      <c r="D82" s="3"/>
      <c r="E82" s="3"/>
      <c r="F82" s="3"/>
      <c r="G82" s="3"/>
      <c r="H82" s="3"/>
      <c r="I82" s="112"/>
      <c r="J82" s="112"/>
      <c r="K82" s="86"/>
      <c r="L82" s="86"/>
      <c r="M82" s="86"/>
      <c r="N82" s="86"/>
      <c r="O82" s="123"/>
      <c r="P82" s="123"/>
      <c r="Q82" s="86"/>
      <c r="R82" s="86"/>
      <c r="S82" s="86"/>
      <c r="T82" s="86"/>
      <c r="U82" s="86"/>
      <c r="X82" s="3"/>
      <c r="Y82" s="3"/>
      <c r="Z82" s="3"/>
      <c r="AA82" s="3"/>
      <c r="AB82" s="3"/>
    </row>
    <row r="83" spans="1:28" s="8" customFormat="1" ht="14.1" customHeight="1" x14ac:dyDescent="0.15">
      <c r="A83" s="3"/>
      <c r="B83" s="3"/>
      <c r="C83" s="3"/>
      <c r="D83" s="3"/>
      <c r="E83" s="3"/>
      <c r="F83" s="3"/>
      <c r="G83" s="3"/>
      <c r="H83" s="3"/>
      <c r="I83" s="112"/>
      <c r="J83" s="112"/>
      <c r="K83" s="86"/>
      <c r="L83" s="86"/>
      <c r="M83" s="86"/>
      <c r="N83" s="86"/>
      <c r="O83" s="123"/>
      <c r="P83" s="123"/>
      <c r="Q83" s="86"/>
      <c r="R83" s="86"/>
      <c r="S83" s="86"/>
      <c r="T83" s="86"/>
      <c r="U83" s="86"/>
      <c r="X83" s="3"/>
      <c r="Y83" s="3"/>
      <c r="Z83" s="3"/>
      <c r="AA83" s="3"/>
      <c r="AB83" s="3"/>
    </row>
    <row r="84" spans="1:28" s="8" customFormat="1" ht="14.1" customHeight="1" x14ac:dyDescent="0.15">
      <c r="A84" s="3"/>
      <c r="B84" s="3"/>
      <c r="C84" s="3"/>
      <c r="D84" s="3"/>
      <c r="E84" s="3"/>
      <c r="F84" s="3"/>
      <c r="G84" s="3"/>
      <c r="H84" s="3"/>
      <c r="I84" s="112"/>
      <c r="J84" s="112"/>
      <c r="K84" s="86"/>
      <c r="L84" s="86"/>
      <c r="M84" s="86"/>
      <c r="N84" s="86"/>
      <c r="O84" s="123"/>
      <c r="P84" s="123"/>
      <c r="Q84" s="86"/>
      <c r="R84" s="86"/>
      <c r="S84" s="86"/>
      <c r="T84" s="86"/>
      <c r="U84" s="86"/>
      <c r="X84" s="3"/>
      <c r="Y84" s="3"/>
      <c r="Z84" s="3"/>
      <c r="AA84" s="3"/>
      <c r="AB84" s="3"/>
    </row>
    <row r="85" spans="1:28" s="8" customFormat="1" ht="14.1" customHeight="1" x14ac:dyDescent="0.15">
      <c r="A85" s="3"/>
      <c r="B85" s="3"/>
      <c r="C85" s="3"/>
      <c r="D85" s="3"/>
      <c r="E85" s="3"/>
      <c r="F85" s="3"/>
      <c r="G85" s="3"/>
      <c r="H85" s="3"/>
      <c r="I85" s="112"/>
      <c r="J85" s="112"/>
      <c r="K85" s="86"/>
      <c r="L85" s="86"/>
      <c r="M85" s="86"/>
      <c r="N85" s="86"/>
      <c r="O85" s="123"/>
      <c r="P85" s="123"/>
      <c r="Q85" s="86"/>
      <c r="R85" s="86"/>
      <c r="S85" s="86"/>
      <c r="T85" s="86"/>
      <c r="U85" s="86"/>
      <c r="X85" s="3"/>
      <c r="Y85" s="3"/>
      <c r="Z85" s="3"/>
      <c r="AA85" s="3"/>
      <c r="AB85" s="3"/>
    </row>
    <row r="86" spans="1:28" s="8" customFormat="1" ht="14.1" customHeight="1" x14ac:dyDescent="0.15">
      <c r="A86" s="3"/>
      <c r="B86" s="3"/>
      <c r="C86" s="3"/>
      <c r="D86" s="3"/>
      <c r="E86" s="3"/>
      <c r="F86" s="3"/>
      <c r="G86" s="3"/>
      <c r="H86" s="3"/>
      <c r="I86" s="112"/>
      <c r="J86" s="112"/>
      <c r="K86" s="86"/>
      <c r="L86" s="86"/>
      <c r="M86" s="86"/>
      <c r="N86" s="86"/>
      <c r="O86" s="123"/>
      <c r="P86" s="123"/>
      <c r="Q86" s="86"/>
      <c r="R86" s="86"/>
      <c r="S86" s="86"/>
      <c r="T86" s="86"/>
      <c r="U86" s="86"/>
      <c r="X86" s="3"/>
      <c r="Y86" s="3"/>
      <c r="Z86" s="3"/>
      <c r="AA86" s="3"/>
      <c r="AB86" s="3"/>
    </row>
    <row r="87" spans="1:28" s="8" customFormat="1" ht="14.1" customHeight="1" x14ac:dyDescent="0.15">
      <c r="A87" s="3"/>
      <c r="B87" s="3"/>
      <c r="C87" s="3"/>
      <c r="D87" s="3"/>
      <c r="E87" s="3"/>
      <c r="F87" s="3"/>
      <c r="G87" s="3"/>
      <c r="H87" s="3"/>
      <c r="I87" s="112"/>
      <c r="J87" s="112"/>
      <c r="K87" s="86"/>
      <c r="L87" s="86"/>
      <c r="M87" s="86"/>
      <c r="N87" s="86"/>
      <c r="O87" s="123"/>
      <c r="P87" s="123"/>
      <c r="Q87" s="86"/>
      <c r="R87" s="86"/>
      <c r="S87" s="86"/>
      <c r="T87" s="86"/>
      <c r="U87" s="86"/>
      <c r="X87" s="3"/>
      <c r="Y87" s="3"/>
      <c r="Z87" s="3"/>
      <c r="AA87" s="3"/>
      <c r="AB87" s="3"/>
    </row>
    <row r="88" spans="1:28" s="8" customFormat="1" ht="14.1" customHeight="1" x14ac:dyDescent="0.15">
      <c r="A88" s="3"/>
      <c r="B88" s="3"/>
      <c r="C88" s="3"/>
      <c r="D88" s="3"/>
      <c r="E88" s="3"/>
      <c r="F88" s="3"/>
      <c r="G88" s="3"/>
      <c r="H88" s="3"/>
      <c r="I88" s="112"/>
      <c r="J88" s="112"/>
      <c r="K88" s="86"/>
      <c r="L88" s="86"/>
      <c r="M88" s="86"/>
      <c r="N88" s="86"/>
      <c r="O88" s="123"/>
      <c r="P88" s="123"/>
      <c r="Q88" s="86"/>
      <c r="R88" s="86"/>
      <c r="S88" s="86"/>
      <c r="T88" s="86"/>
      <c r="U88" s="86"/>
      <c r="X88" s="3"/>
      <c r="Y88" s="3"/>
      <c r="Z88" s="3"/>
      <c r="AA88" s="3"/>
      <c r="AB88" s="3"/>
    </row>
    <row r="89" spans="1:28" s="8" customFormat="1" ht="14.1" customHeight="1" x14ac:dyDescent="0.15">
      <c r="A89" s="3"/>
      <c r="B89" s="3"/>
      <c r="C89" s="3"/>
      <c r="D89" s="3"/>
      <c r="E89" s="3"/>
      <c r="F89" s="3"/>
      <c r="G89" s="3"/>
      <c r="H89" s="3"/>
      <c r="I89" s="112"/>
      <c r="J89" s="112"/>
      <c r="K89" s="86"/>
      <c r="L89" s="86"/>
      <c r="M89" s="86"/>
      <c r="N89" s="86"/>
      <c r="O89" s="123"/>
      <c r="P89" s="123"/>
      <c r="Q89" s="86"/>
      <c r="R89" s="86"/>
      <c r="S89" s="86"/>
      <c r="T89" s="86"/>
      <c r="U89" s="86"/>
      <c r="X89" s="3"/>
      <c r="Y89" s="3"/>
      <c r="Z89" s="3"/>
      <c r="AA89" s="3"/>
      <c r="AB89" s="3"/>
    </row>
    <row r="90" spans="1:28" s="8" customFormat="1" ht="14.1" customHeight="1" x14ac:dyDescent="0.15">
      <c r="A90" s="3"/>
      <c r="B90" s="3"/>
      <c r="C90" s="3"/>
      <c r="D90" s="3"/>
      <c r="E90" s="3"/>
      <c r="F90" s="3"/>
      <c r="G90" s="3"/>
      <c r="H90" s="3"/>
      <c r="I90" s="112"/>
      <c r="J90" s="112"/>
      <c r="K90" s="86"/>
      <c r="L90" s="86"/>
      <c r="M90" s="86"/>
      <c r="N90" s="86"/>
      <c r="O90" s="123"/>
      <c r="P90" s="123"/>
      <c r="Q90" s="86"/>
      <c r="R90" s="86"/>
      <c r="S90" s="86"/>
      <c r="T90" s="86"/>
      <c r="U90" s="86"/>
      <c r="X90" s="3"/>
      <c r="Y90" s="3"/>
      <c r="Z90" s="3"/>
      <c r="AA90" s="3"/>
      <c r="AB90" s="3"/>
    </row>
    <row r="91" spans="1:28" s="8" customFormat="1" ht="14.1" customHeight="1" x14ac:dyDescent="0.15">
      <c r="A91" s="3"/>
      <c r="B91" s="3"/>
      <c r="C91" s="3"/>
      <c r="D91" s="3"/>
      <c r="E91" s="3"/>
      <c r="F91" s="3"/>
      <c r="G91" s="3"/>
      <c r="H91" s="3"/>
      <c r="I91" s="112"/>
      <c r="J91" s="112"/>
      <c r="K91" s="86"/>
      <c r="L91" s="86"/>
      <c r="M91" s="86"/>
      <c r="N91" s="86"/>
      <c r="O91" s="123"/>
      <c r="P91" s="123"/>
      <c r="Q91" s="86"/>
      <c r="R91" s="86"/>
      <c r="S91" s="86"/>
      <c r="T91" s="86"/>
      <c r="U91" s="86"/>
      <c r="X91" s="3"/>
      <c r="Y91" s="3"/>
      <c r="Z91" s="3"/>
      <c r="AA91" s="3"/>
      <c r="AB91" s="3"/>
    </row>
    <row r="92" spans="1:28" s="8" customFormat="1" ht="14.1" customHeight="1" x14ac:dyDescent="0.15">
      <c r="A92" s="3"/>
      <c r="B92" s="3"/>
      <c r="C92" s="3"/>
      <c r="D92" s="3"/>
      <c r="E92" s="3"/>
      <c r="F92" s="3"/>
      <c r="G92" s="3"/>
      <c r="H92" s="3"/>
      <c r="I92" s="112"/>
      <c r="J92" s="112"/>
      <c r="K92" s="86"/>
      <c r="L92" s="86"/>
      <c r="M92" s="86"/>
      <c r="N92" s="86"/>
      <c r="O92" s="123"/>
      <c r="P92" s="123"/>
      <c r="Q92" s="86"/>
      <c r="R92" s="86"/>
      <c r="S92" s="86"/>
      <c r="T92" s="86"/>
      <c r="U92" s="86"/>
      <c r="X92" s="3"/>
      <c r="Y92" s="3"/>
      <c r="Z92" s="3"/>
      <c r="AA92" s="3"/>
      <c r="AB92" s="3"/>
    </row>
    <row r="93" spans="1:28" s="8" customFormat="1" ht="14.1" customHeight="1" x14ac:dyDescent="0.15">
      <c r="A93" s="3"/>
      <c r="B93" s="3"/>
      <c r="C93" s="3"/>
      <c r="D93" s="3"/>
      <c r="E93" s="3"/>
      <c r="F93" s="3"/>
      <c r="G93" s="3"/>
      <c r="H93" s="3"/>
      <c r="I93" s="112"/>
      <c r="J93" s="112"/>
      <c r="K93" s="86"/>
      <c r="L93" s="86"/>
      <c r="M93" s="86"/>
      <c r="N93" s="86"/>
      <c r="O93" s="123"/>
      <c r="P93" s="123"/>
      <c r="Q93" s="86"/>
      <c r="R93" s="86"/>
      <c r="S93" s="86"/>
      <c r="T93" s="86"/>
      <c r="U93" s="86"/>
      <c r="X93" s="3"/>
      <c r="Y93" s="3"/>
      <c r="Z93" s="3"/>
      <c r="AA93" s="3"/>
      <c r="AB93" s="3"/>
    </row>
    <row r="94" spans="1:28" s="8" customFormat="1" ht="14.1" customHeight="1" x14ac:dyDescent="0.15">
      <c r="A94" s="3"/>
      <c r="B94" s="3"/>
      <c r="C94" s="3"/>
      <c r="D94" s="3"/>
      <c r="E94" s="3"/>
      <c r="F94" s="3"/>
      <c r="G94" s="3"/>
      <c r="H94" s="3"/>
      <c r="I94" s="112"/>
      <c r="J94" s="112"/>
      <c r="K94" s="86"/>
      <c r="L94" s="86"/>
      <c r="M94" s="86"/>
      <c r="N94" s="86"/>
      <c r="O94" s="123"/>
      <c r="P94" s="123"/>
      <c r="Q94" s="86"/>
      <c r="R94" s="86"/>
      <c r="S94" s="86"/>
      <c r="T94" s="86"/>
      <c r="U94" s="86"/>
      <c r="X94" s="3"/>
      <c r="Y94" s="3"/>
      <c r="Z94" s="3"/>
      <c r="AA94" s="3"/>
      <c r="AB94" s="3"/>
    </row>
    <row r="95" spans="1:28" s="8" customFormat="1" ht="14.1" customHeight="1" x14ac:dyDescent="0.15">
      <c r="A95" s="3"/>
      <c r="B95" s="3"/>
      <c r="C95" s="3"/>
      <c r="D95" s="3"/>
      <c r="E95" s="3"/>
      <c r="F95" s="3"/>
      <c r="G95" s="3"/>
      <c r="H95" s="3"/>
      <c r="I95" s="112"/>
      <c r="J95" s="112"/>
      <c r="K95" s="86"/>
      <c r="L95" s="86"/>
      <c r="M95" s="86"/>
      <c r="N95" s="86"/>
      <c r="O95" s="123"/>
      <c r="P95" s="123"/>
      <c r="Q95" s="86"/>
      <c r="R95" s="86"/>
      <c r="S95" s="86"/>
      <c r="T95" s="86"/>
      <c r="U95" s="86"/>
      <c r="X95" s="3"/>
      <c r="Y95" s="3"/>
      <c r="Z95" s="3"/>
      <c r="AA95" s="3"/>
      <c r="AB95" s="3"/>
    </row>
    <row r="96" spans="1:28" s="8" customFormat="1" ht="14.1" customHeight="1" x14ac:dyDescent="0.15">
      <c r="A96" s="3"/>
      <c r="B96" s="3"/>
      <c r="C96" s="3"/>
      <c r="D96" s="3"/>
      <c r="E96" s="3"/>
      <c r="F96" s="3"/>
      <c r="G96" s="3"/>
      <c r="H96" s="3"/>
      <c r="I96" s="112"/>
      <c r="J96" s="112"/>
      <c r="K96" s="86"/>
      <c r="L96" s="86"/>
      <c r="M96" s="86"/>
      <c r="N96" s="86"/>
      <c r="O96" s="123"/>
      <c r="P96" s="123"/>
      <c r="Q96" s="86"/>
      <c r="R96" s="86"/>
      <c r="S96" s="86"/>
      <c r="T96" s="86"/>
      <c r="U96" s="86"/>
      <c r="X96" s="3"/>
      <c r="Y96" s="3"/>
      <c r="Z96" s="3"/>
      <c r="AA96" s="3"/>
      <c r="AB96" s="3"/>
    </row>
    <row r="97" spans="1:28" s="8" customFormat="1" ht="14.1" customHeight="1" x14ac:dyDescent="0.15">
      <c r="A97" s="3"/>
      <c r="B97" s="3"/>
      <c r="C97" s="3"/>
      <c r="D97" s="3"/>
      <c r="E97" s="3"/>
      <c r="F97" s="3"/>
      <c r="G97" s="3"/>
      <c r="H97" s="3"/>
      <c r="I97" s="112"/>
      <c r="J97" s="112"/>
      <c r="K97" s="86"/>
      <c r="L97" s="86"/>
      <c r="M97" s="86"/>
      <c r="N97" s="86"/>
      <c r="O97" s="123"/>
      <c r="P97" s="123"/>
      <c r="Q97" s="86"/>
      <c r="R97" s="86"/>
      <c r="S97" s="86"/>
      <c r="T97" s="86"/>
      <c r="U97" s="86"/>
      <c r="X97" s="3"/>
      <c r="Y97" s="3"/>
      <c r="Z97" s="3"/>
      <c r="AA97" s="3"/>
      <c r="AB97" s="3"/>
    </row>
    <row r="98" spans="1:28" s="8" customFormat="1" ht="14.1" customHeight="1" x14ac:dyDescent="0.15">
      <c r="A98" s="3"/>
      <c r="B98" s="3"/>
      <c r="C98" s="3"/>
      <c r="D98" s="3"/>
      <c r="E98" s="3"/>
      <c r="F98" s="3"/>
      <c r="G98" s="3"/>
      <c r="H98" s="3"/>
      <c r="I98" s="112"/>
      <c r="J98" s="112"/>
      <c r="K98" s="86"/>
      <c r="L98" s="86"/>
      <c r="M98" s="86"/>
      <c r="N98" s="86"/>
      <c r="O98" s="123"/>
      <c r="P98" s="123"/>
      <c r="Q98" s="86"/>
      <c r="R98" s="86"/>
      <c r="S98" s="86"/>
      <c r="T98" s="86"/>
      <c r="U98" s="86"/>
      <c r="X98" s="3"/>
      <c r="Y98" s="3"/>
      <c r="Z98" s="3"/>
      <c r="AA98" s="3"/>
      <c r="AB98" s="3"/>
    </row>
  </sheetData>
  <mergeCells count="49">
    <mergeCell ref="D30:G36"/>
    <mergeCell ref="H31:I31"/>
    <mergeCell ref="C4:E4"/>
    <mergeCell ref="F4:H4"/>
    <mergeCell ref="A1:J2"/>
    <mergeCell ref="J4:L7"/>
    <mergeCell ref="J9:L17"/>
    <mergeCell ref="R6:S6"/>
    <mergeCell ref="R7:S7"/>
    <mergeCell ref="R8:S8"/>
    <mergeCell ref="R11:V15"/>
    <mergeCell ref="A4:B4"/>
    <mergeCell ref="O61:P61"/>
    <mergeCell ref="O62:P62"/>
    <mergeCell ref="O21:P22"/>
    <mergeCell ref="O37:P37"/>
    <mergeCell ref="H61:I61"/>
    <mergeCell ref="H32:I32"/>
    <mergeCell ref="H38:I38"/>
    <mergeCell ref="H33:I33"/>
    <mergeCell ref="O38:P38"/>
    <mergeCell ref="O43:P43"/>
    <mergeCell ref="O49:P49"/>
    <mergeCell ref="O55:P55"/>
    <mergeCell ref="O56:P56"/>
    <mergeCell ref="O30:P30"/>
    <mergeCell ref="O31:P31"/>
    <mergeCell ref="O32:P32"/>
    <mergeCell ref="D61:G66"/>
    <mergeCell ref="D55:G60"/>
    <mergeCell ref="D49:G54"/>
    <mergeCell ref="D43:G48"/>
    <mergeCell ref="D37:G42"/>
    <mergeCell ref="H56:I56"/>
    <mergeCell ref="H37:I37"/>
    <mergeCell ref="A19:C20"/>
    <mergeCell ref="D19:G20"/>
    <mergeCell ref="U19:W19"/>
    <mergeCell ref="K19:M19"/>
    <mergeCell ref="H22:I22"/>
    <mergeCell ref="T19:T20"/>
    <mergeCell ref="N19:N20"/>
    <mergeCell ref="Q19:Q20"/>
    <mergeCell ref="D21:G29"/>
    <mergeCell ref="J19:J20"/>
    <mergeCell ref="H19:I20"/>
    <mergeCell ref="R19:S20"/>
    <mergeCell ref="O19:P20"/>
    <mergeCell ref="O33:P33"/>
  </mergeCells>
  <pageMargins left="0.70866141732283472" right="0.70866141732283472" top="0.74803149606299213" bottom="0.74803149606299213" header="0.31496062992125984" footer="0.31496062992125984"/>
  <pageSetup paperSize="9" scale="30" orientation="landscape" r:id="rId1"/>
  <headerFooter>
    <oddHeader>&amp;L&amp;F&amp;R&amp;A</oddHeader>
    <oddFooter>&amp;L&amp;D&amp;RPagina &amp;P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CE21F-C4F9-452F-A42E-9AD838E0AA8A}">
  <sheetPr>
    <tabColor theme="6"/>
    <pageSetUpPr fitToPage="1"/>
  </sheetPr>
  <dimension ref="A1:Z95"/>
  <sheetViews>
    <sheetView zoomScaleNormal="100" workbookViewId="0"/>
  </sheetViews>
  <sheetFormatPr defaultColWidth="9.09765625" defaultRowHeight="10.5" x14ac:dyDescent="0.15"/>
  <cols>
    <col min="1" max="10" width="12.09765625" style="3" customWidth="1"/>
    <col min="11" max="13" width="12.09765625" style="8" customWidth="1"/>
    <col min="14" max="14" width="19.59765625" style="8" customWidth="1"/>
    <col min="15" max="15" width="19.59765625" style="119" customWidth="1"/>
    <col min="16" max="21" width="11.59765625" style="8" customWidth="1"/>
    <col min="22" max="16384" width="9.09765625" style="3"/>
  </cols>
  <sheetData>
    <row r="1" spans="1:21" s="488" customFormat="1" ht="14.1" customHeight="1" x14ac:dyDescent="0.25">
      <c r="A1" s="605" t="str" cm="1">
        <f t="array" aca="1" ref="A1" ca="1">MID(CELL("bestandsnaam",$A$1),FIND("]",CELL("bestandsnaam",$A$1))+1,31)</f>
        <v>7. Broedvogelkartering</v>
      </c>
      <c r="B1" s="605"/>
      <c r="C1" s="605"/>
      <c r="D1" s="605"/>
      <c r="E1" s="605"/>
      <c r="F1" s="605"/>
      <c r="G1" s="605"/>
      <c r="H1" s="605"/>
      <c r="I1" s="605"/>
      <c r="J1" s="605"/>
      <c r="K1" s="486"/>
      <c r="L1" s="486"/>
      <c r="M1" s="486"/>
      <c r="N1" s="486"/>
      <c r="O1" s="487"/>
      <c r="P1" s="486"/>
      <c r="Q1" s="486"/>
      <c r="R1" s="486"/>
      <c r="S1" s="486"/>
      <c r="T1" s="486"/>
      <c r="U1" s="486"/>
    </row>
    <row r="2" spans="1:21" s="488" customFormat="1" ht="14.1" customHeight="1" x14ac:dyDescent="0.25">
      <c r="A2" s="605"/>
      <c r="B2" s="605"/>
      <c r="C2" s="605"/>
      <c r="D2" s="605"/>
      <c r="E2" s="605"/>
      <c r="F2" s="605"/>
      <c r="G2" s="605"/>
      <c r="H2" s="605"/>
      <c r="I2" s="605"/>
      <c r="J2" s="605"/>
      <c r="K2" s="486"/>
      <c r="L2" s="486"/>
      <c r="M2" s="486"/>
      <c r="N2" s="486"/>
      <c r="O2" s="487"/>
      <c r="P2" s="486"/>
      <c r="Q2" s="486"/>
      <c r="R2" s="486"/>
      <c r="S2" s="486"/>
      <c r="T2" s="486"/>
      <c r="U2" s="486"/>
    </row>
    <row r="3" spans="1:21" ht="14.1" customHeight="1" x14ac:dyDescent="0.15">
      <c r="A3" s="525" t="s">
        <v>237</v>
      </c>
      <c r="B3" s="61"/>
      <c r="C3" s="61"/>
      <c r="D3" s="60"/>
      <c r="E3" s="60"/>
      <c r="F3" s="60"/>
      <c r="G3" s="60"/>
      <c r="H3" s="61"/>
      <c r="I3" s="61"/>
      <c r="J3" s="61"/>
      <c r="K3" s="62"/>
      <c r="L3" s="62"/>
      <c r="M3" s="62"/>
      <c r="N3" s="62"/>
      <c r="O3" s="116"/>
      <c r="P3" s="62"/>
      <c r="Q3" s="62"/>
      <c r="R3" s="62"/>
      <c r="S3" s="62"/>
      <c r="T3" s="62"/>
      <c r="U3" s="62"/>
    </row>
    <row r="4" spans="1:21" ht="14.1" customHeight="1" x14ac:dyDescent="0.15">
      <c r="A4" s="845" t="s">
        <v>219</v>
      </c>
      <c r="B4" s="846"/>
      <c r="C4" s="743" t="s">
        <v>28</v>
      </c>
      <c r="D4" s="745"/>
      <c r="E4" s="743" t="s">
        <v>29</v>
      </c>
      <c r="F4" s="745"/>
      <c r="G4" s="60"/>
      <c r="H4" s="755" t="s">
        <v>326</v>
      </c>
      <c r="I4" s="756"/>
      <c r="J4" s="757"/>
      <c r="K4" s="62"/>
      <c r="L4" s="565" t="s">
        <v>327</v>
      </c>
      <c r="M4" s="569"/>
      <c r="N4" s="569"/>
      <c r="O4" s="552"/>
      <c r="P4" s="566" t="s">
        <v>328</v>
      </c>
      <c r="Q4" s="561"/>
      <c r="R4" s="561"/>
      <c r="S4" s="561"/>
      <c r="T4" s="561"/>
      <c r="U4" s="553"/>
    </row>
    <row r="5" spans="1:21" ht="14.1" customHeight="1" x14ac:dyDescent="0.15">
      <c r="A5" s="576"/>
      <c r="B5" s="577"/>
      <c r="C5" s="107" t="s">
        <v>220</v>
      </c>
      <c r="D5" s="108" t="s">
        <v>221</v>
      </c>
      <c r="E5" s="107" t="s">
        <v>220</v>
      </c>
      <c r="F5" s="277" t="s">
        <v>221</v>
      </c>
      <c r="G5" s="60"/>
      <c r="H5" s="758"/>
      <c r="I5" s="759"/>
      <c r="J5" s="760"/>
      <c r="K5" s="62"/>
      <c r="L5" s="554"/>
      <c r="M5" s="549"/>
      <c r="N5" s="549"/>
      <c r="O5" s="549"/>
      <c r="P5" s="547"/>
      <c r="Q5" s="572"/>
      <c r="R5" s="573" t="s">
        <v>242</v>
      </c>
      <c r="S5" s="548" t="s">
        <v>221</v>
      </c>
      <c r="T5" s="551"/>
      <c r="U5" s="555"/>
    </row>
    <row r="6" spans="1:21" ht="14.1" customHeight="1" x14ac:dyDescent="0.15">
      <c r="A6" s="526" t="s">
        <v>243</v>
      </c>
      <c r="B6" s="81" t="s">
        <v>244</v>
      </c>
      <c r="C6" s="167">
        <f>SUM($T$35,$T$58,$T$59)</f>
        <v>3.887096397829787</v>
      </c>
      <c r="D6" s="168">
        <f>SUM($U$35,$U$58,$U$59)</f>
        <v>3.7876243280141852</v>
      </c>
      <c r="E6" s="167">
        <f>SUM($T$35,$T$58,$T$59)</f>
        <v>3.887096397829787</v>
      </c>
      <c r="F6" s="168">
        <f>SUM($U$35,$U$58,$U$59)</f>
        <v>3.7876243280141852</v>
      </c>
      <c r="G6" s="60"/>
      <c r="H6" s="758"/>
      <c r="I6" s="759"/>
      <c r="J6" s="760"/>
      <c r="K6" s="62"/>
      <c r="L6" s="554"/>
      <c r="M6" s="549"/>
      <c r="N6" s="549"/>
      <c r="O6" s="549"/>
      <c r="P6" s="764" t="s">
        <v>245</v>
      </c>
      <c r="Q6" s="765"/>
      <c r="R6" s="570">
        <f>C6/C$9</f>
        <v>7.6325015684047134E-2</v>
      </c>
      <c r="S6" s="581">
        <f>D6/D$9</f>
        <v>0.10965124894898885</v>
      </c>
      <c r="T6" s="551"/>
      <c r="U6" s="555"/>
    </row>
    <row r="7" spans="1:21" ht="14.1" customHeight="1" x14ac:dyDescent="0.15">
      <c r="A7" s="81" t="s">
        <v>243</v>
      </c>
      <c r="B7" s="81" t="s">
        <v>166</v>
      </c>
      <c r="C7" s="167">
        <f>SUM($T$34,$T$36,$T$52,$T$53,$T$54)</f>
        <v>14.54631552</v>
      </c>
      <c r="D7" s="168">
        <f>SUM($U$34,$U$36,$U$52,$U$53,$U$54)</f>
        <v>13.72119552</v>
      </c>
      <c r="E7" s="167">
        <f>SUM($T$34,$T$36,$T$52,$T$53,$T$54)</f>
        <v>14.54631552</v>
      </c>
      <c r="F7" s="168">
        <f>SUM($U$34,$U$36,$U$52,$U$53,$U$54)</f>
        <v>13.72119552</v>
      </c>
      <c r="G7" s="60"/>
      <c r="H7" s="761"/>
      <c r="I7" s="762"/>
      <c r="J7" s="763"/>
      <c r="K7" s="62"/>
      <c r="L7" s="554"/>
      <c r="M7" s="549"/>
      <c r="N7" s="549"/>
      <c r="O7" s="549"/>
      <c r="P7" s="764" t="s">
        <v>246</v>
      </c>
      <c r="Q7" s="765"/>
      <c r="R7" s="570">
        <f t="shared" ref="R7:S8" si="0">C7/C$9</f>
        <v>0.28562393277124876</v>
      </c>
      <c r="S7" s="581">
        <f t="shared" si="0"/>
        <v>0.39722688829335129</v>
      </c>
      <c r="T7" s="551"/>
      <c r="U7" s="555"/>
    </row>
    <row r="8" spans="1:21" ht="14.1" customHeight="1" x14ac:dyDescent="0.15">
      <c r="A8" s="81" t="s">
        <v>307</v>
      </c>
      <c r="B8" s="81" t="s">
        <v>248</v>
      </c>
      <c r="C8" s="167">
        <f>SUM(T$40,T$41)</f>
        <v>32.49479769984918</v>
      </c>
      <c r="D8" s="168">
        <f>SUM(U$40,U$41)</f>
        <v>17.033644230769234</v>
      </c>
      <c r="E8" s="167">
        <f>SUM(T40,T41,T46,T47)</f>
        <v>34.444485561840132</v>
      </c>
      <c r="F8" s="168">
        <f>SUM(U40,U41,U46,U47)</f>
        <v>18.055662884615387</v>
      </c>
      <c r="G8" s="60"/>
      <c r="H8" s="61"/>
      <c r="I8" s="61"/>
      <c r="J8" s="61"/>
      <c r="K8" s="62"/>
      <c r="L8" s="554"/>
      <c r="M8" s="549"/>
      <c r="N8" s="549"/>
      <c r="O8" s="549"/>
      <c r="P8" s="764" t="s">
        <v>308</v>
      </c>
      <c r="Q8" s="765"/>
      <c r="R8" s="570">
        <f t="shared" si="0"/>
        <v>0.6380510515447041</v>
      </c>
      <c r="S8" s="581">
        <f t="shared" si="0"/>
        <v>0.4931218627576599</v>
      </c>
      <c r="T8" s="551"/>
      <c r="U8" s="555"/>
    </row>
    <row r="9" spans="1:21" ht="14.1" customHeight="1" x14ac:dyDescent="0.15">
      <c r="A9" s="527" t="s">
        <v>311</v>
      </c>
      <c r="B9" s="278"/>
      <c r="C9" s="271">
        <f>SUM(C6:C8)</f>
        <v>50.928209617678966</v>
      </c>
      <c r="D9" s="174">
        <f t="shared" ref="D9:F9" si="1">SUM(D6:D8)</f>
        <v>34.542464078783418</v>
      </c>
      <c r="E9" s="271">
        <f>SUM(E6:E8)</f>
        <v>52.877897479669919</v>
      </c>
      <c r="F9" s="174">
        <f t="shared" si="1"/>
        <v>35.564482732629571</v>
      </c>
      <c r="G9" s="60"/>
      <c r="H9" s="779" t="s">
        <v>329</v>
      </c>
      <c r="I9" s="780"/>
      <c r="J9" s="781"/>
      <c r="K9" s="62"/>
      <c r="L9" s="554"/>
      <c r="M9" s="549"/>
      <c r="N9" s="549"/>
      <c r="O9" s="549"/>
      <c r="P9" s="549"/>
      <c r="Q9" s="550"/>
      <c r="R9" s="550"/>
      <c r="S9" s="550"/>
      <c r="T9" s="551"/>
      <c r="U9" s="555"/>
    </row>
    <row r="10" spans="1:21" ht="14.1" customHeight="1" x14ac:dyDescent="0.15">
      <c r="A10" s="345" t="s">
        <v>257</v>
      </c>
      <c r="B10" s="80"/>
      <c r="C10" s="97"/>
      <c r="D10" s="97"/>
      <c r="E10" s="97"/>
      <c r="F10" s="97"/>
      <c r="G10" s="60"/>
      <c r="H10" s="782"/>
      <c r="I10" s="783"/>
      <c r="J10" s="784"/>
      <c r="K10" s="62"/>
      <c r="L10" s="554"/>
      <c r="M10" s="549"/>
      <c r="N10" s="549"/>
      <c r="O10" s="549"/>
      <c r="P10" s="564" t="s">
        <v>253</v>
      </c>
      <c r="Q10" s="550"/>
      <c r="R10" s="550"/>
      <c r="S10" s="550"/>
      <c r="T10" s="551"/>
      <c r="U10" s="555"/>
    </row>
    <row r="11" spans="1:21" ht="14.1" customHeight="1" x14ac:dyDescent="0.15">
      <c r="A11" s="143"/>
      <c r="B11" s="80"/>
      <c r="C11" s="97"/>
      <c r="D11" s="97"/>
      <c r="E11" s="97"/>
      <c r="F11" s="97"/>
      <c r="G11" s="60"/>
      <c r="H11" s="782"/>
      <c r="I11" s="783"/>
      <c r="J11" s="784"/>
      <c r="K11" s="62"/>
      <c r="L11" s="554"/>
      <c r="M11" s="549"/>
      <c r="N11" s="549"/>
      <c r="O11" s="549"/>
      <c r="P11" s="788" t="s">
        <v>255</v>
      </c>
      <c r="Q11" s="788"/>
      <c r="R11" s="788"/>
      <c r="S11" s="788"/>
      <c r="T11" s="788"/>
      <c r="U11" s="555"/>
    </row>
    <row r="12" spans="1:21" ht="15" customHeight="1" x14ac:dyDescent="0.15">
      <c r="A12" s="143"/>
      <c r="B12" s="80"/>
      <c r="C12" s="97"/>
      <c r="D12" s="97"/>
      <c r="E12" s="97"/>
      <c r="F12" s="97"/>
      <c r="G12" s="60"/>
      <c r="H12" s="782"/>
      <c r="I12" s="783"/>
      <c r="J12" s="784"/>
      <c r="K12" s="62"/>
      <c r="L12" s="554"/>
      <c r="M12" s="549"/>
      <c r="N12" s="549"/>
      <c r="O12" s="549"/>
      <c r="P12" s="788"/>
      <c r="Q12" s="788"/>
      <c r="R12" s="788"/>
      <c r="S12" s="788"/>
      <c r="T12" s="788"/>
      <c r="U12" s="555"/>
    </row>
    <row r="13" spans="1:21" ht="15" customHeight="1" x14ac:dyDescent="0.15">
      <c r="A13" s="143"/>
      <c r="B13" s="80"/>
      <c r="C13" s="97"/>
      <c r="D13" s="97"/>
      <c r="E13" s="97"/>
      <c r="F13" s="97"/>
      <c r="G13" s="60"/>
      <c r="H13" s="782"/>
      <c r="I13" s="783"/>
      <c r="J13" s="784"/>
      <c r="K13" s="62"/>
      <c r="L13" s="554"/>
      <c r="M13" s="549"/>
      <c r="N13" s="549"/>
      <c r="O13" s="549"/>
      <c r="P13" s="788"/>
      <c r="Q13" s="788"/>
      <c r="R13" s="788"/>
      <c r="S13" s="788"/>
      <c r="T13" s="788"/>
      <c r="U13" s="555"/>
    </row>
    <row r="14" spans="1:21" ht="15" customHeight="1" x14ac:dyDescent="0.15">
      <c r="A14" s="143"/>
      <c r="B14" s="80"/>
      <c r="C14" s="97"/>
      <c r="D14" s="97"/>
      <c r="E14" s="97"/>
      <c r="F14" s="97"/>
      <c r="G14" s="60"/>
      <c r="H14" s="782"/>
      <c r="I14" s="783"/>
      <c r="J14" s="784"/>
      <c r="K14" s="62"/>
      <c r="L14" s="554"/>
      <c r="M14" s="549"/>
      <c r="N14" s="549"/>
      <c r="O14" s="549"/>
      <c r="P14" s="788"/>
      <c r="Q14" s="788"/>
      <c r="R14" s="788"/>
      <c r="S14" s="788"/>
      <c r="T14" s="788"/>
      <c r="U14" s="555"/>
    </row>
    <row r="15" spans="1:21" ht="15" customHeight="1" x14ac:dyDescent="0.15">
      <c r="A15" s="143"/>
      <c r="B15" s="80"/>
      <c r="C15" s="97"/>
      <c r="D15" s="97"/>
      <c r="E15" s="97"/>
      <c r="F15" s="97"/>
      <c r="G15" s="60"/>
      <c r="H15" s="782"/>
      <c r="I15" s="783"/>
      <c r="J15" s="784"/>
      <c r="K15" s="62"/>
      <c r="L15" s="554"/>
      <c r="M15" s="549"/>
      <c r="N15" s="549"/>
      <c r="O15" s="549"/>
      <c r="P15" s="788"/>
      <c r="Q15" s="788"/>
      <c r="R15" s="788"/>
      <c r="S15" s="788"/>
      <c r="T15" s="788"/>
      <c r="U15" s="555"/>
    </row>
    <row r="16" spans="1:21" ht="15" customHeight="1" x14ac:dyDescent="0.15">
      <c r="A16" s="143"/>
      <c r="B16" s="80"/>
      <c r="C16" s="97"/>
      <c r="D16" s="97"/>
      <c r="E16" s="97"/>
      <c r="F16" s="97"/>
      <c r="G16" s="60"/>
      <c r="H16" s="782"/>
      <c r="I16" s="783"/>
      <c r="J16" s="784"/>
      <c r="K16" s="62"/>
      <c r="L16" s="554"/>
      <c r="M16" s="549"/>
      <c r="N16" s="549"/>
      <c r="O16" s="549"/>
      <c r="P16" s="549"/>
      <c r="Q16" s="550"/>
      <c r="R16" s="550"/>
      <c r="S16" s="550"/>
      <c r="T16" s="551"/>
      <c r="U16" s="555"/>
    </row>
    <row r="17" spans="1:26" ht="15" customHeight="1" x14ac:dyDescent="0.15">
      <c r="A17" s="143"/>
      <c r="B17" s="80"/>
      <c r="C17" s="97"/>
      <c r="D17" s="97"/>
      <c r="E17" s="97"/>
      <c r="F17" s="97"/>
      <c r="G17" s="60"/>
      <c r="H17" s="785"/>
      <c r="I17" s="786"/>
      <c r="J17" s="787"/>
      <c r="K17" s="62"/>
      <c r="L17" s="556"/>
      <c r="M17" s="557"/>
      <c r="N17" s="557"/>
      <c r="O17" s="557"/>
      <c r="P17" s="557"/>
      <c r="Q17" s="558"/>
      <c r="R17" s="558"/>
      <c r="S17" s="558"/>
      <c r="T17" s="559"/>
      <c r="U17" s="560"/>
    </row>
    <row r="18" spans="1:26" ht="14.1" customHeight="1" x14ac:dyDescent="0.15">
      <c r="A18" s="143"/>
      <c r="B18" s="80"/>
      <c r="C18" s="97"/>
      <c r="D18" s="97"/>
      <c r="E18" s="97"/>
      <c r="F18" s="97"/>
      <c r="G18" s="60"/>
      <c r="H18" s="61"/>
      <c r="I18" s="61"/>
      <c r="J18" s="61"/>
      <c r="K18" s="62"/>
      <c r="L18" s="62"/>
      <c r="M18" s="62"/>
      <c r="N18" s="62"/>
      <c r="O18" s="116"/>
      <c r="P18" s="62"/>
      <c r="Q18" s="62"/>
      <c r="R18" s="62"/>
      <c r="S18" s="62"/>
      <c r="T18" s="62"/>
      <c r="U18" s="62"/>
    </row>
    <row r="19" spans="1:26" ht="14.1" customHeight="1" x14ac:dyDescent="0.15">
      <c r="G19" s="60"/>
      <c r="H19" s="61"/>
      <c r="I19" s="61"/>
      <c r="J19" s="61"/>
      <c r="K19" s="62"/>
      <c r="L19" s="62"/>
      <c r="M19" s="62"/>
      <c r="N19" s="62"/>
      <c r="O19" s="116"/>
      <c r="P19" s="62"/>
      <c r="Q19" s="62"/>
      <c r="R19" s="62"/>
      <c r="S19" s="62"/>
      <c r="T19" s="62"/>
      <c r="U19" s="62"/>
    </row>
    <row r="20" spans="1:26" ht="14.1" customHeight="1" x14ac:dyDescent="0.15">
      <c r="A20" s="143" t="s">
        <v>258</v>
      </c>
      <c r="B20" s="61"/>
      <c r="C20" s="61"/>
      <c r="D20" s="60"/>
      <c r="E20" s="60"/>
      <c r="F20" s="60"/>
      <c r="G20" s="60"/>
      <c r="H20" s="61"/>
      <c r="I20" s="61"/>
      <c r="J20" s="61"/>
      <c r="K20" s="62"/>
      <c r="L20" s="62"/>
      <c r="M20" s="62"/>
      <c r="N20" s="62"/>
      <c r="O20" s="116"/>
      <c r="P20" s="62"/>
      <c r="Q20" s="62"/>
      <c r="R20" s="62"/>
      <c r="S20" s="62"/>
      <c r="T20" s="62"/>
      <c r="U20" s="62"/>
    </row>
    <row r="21" spans="1:26" ht="14.1" customHeight="1" x14ac:dyDescent="0.15">
      <c r="A21" s="766" t="s">
        <v>259</v>
      </c>
      <c r="B21" s="767"/>
      <c r="C21" s="767"/>
      <c r="D21" s="871" t="s">
        <v>2</v>
      </c>
      <c r="E21" s="871"/>
      <c r="F21" s="871"/>
      <c r="G21" s="872"/>
      <c r="H21" s="881" t="s">
        <v>260</v>
      </c>
      <c r="I21" s="882"/>
      <c r="J21" s="886" t="s">
        <v>330</v>
      </c>
      <c r="K21" s="752" t="s">
        <v>262</v>
      </c>
      <c r="L21" s="754"/>
      <c r="M21" s="885" t="s">
        <v>263</v>
      </c>
      <c r="N21" s="746" t="s">
        <v>264</v>
      </c>
      <c r="O21" s="747"/>
      <c r="P21" s="747" t="s">
        <v>265</v>
      </c>
      <c r="Q21" s="746" t="s">
        <v>163</v>
      </c>
      <c r="R21" s="747"/>
      <c r="S21" s="777" t="s">
        <v>266</v>
      </c>
      <c r="T21" s="766" t="s">
        <v>267</v>
      </c>
      <c r="U21" s="768"/>
    </row>
    <row r="22" spans="1:26" s="9" customFormat="1" ht="14.1" customHeight="1" x14ac:dyDescent="0.15">
      <c r="A22" s="830"/>
      <c r="B22" s="875"/>
      <c r="C22" s="875"/>
      <c r="D22" s="873"/>
      <c r="E22" s="873"/>
      <c r="F22" s="873"/>
      <c r="G22" s="874"/>
      <c r="H22" s="883"/>
      <c r="I22" s="884"/>
      <c r="J22" s="887"/>
      <c r="K22" s="54" t="s">
        <v>220</v>
      </c>
      <c r="L22" s="54" t="s">
        <v>221</v>
      </c>
      <c r="M22" s="828"/>
      <c r="N22" s="748"/>
      <c r="O22" s="749"/>
      <c r="P22" s="749"/>
      <c r="Q22" s="748"/>
      <c r="R22" s="749"/>
      <c r="S22" s="829"/>
      <c r="T22" s="88" t="s">
        <v>220</v>
      </c>
      <c r="U22" s="89" t="s">
        <v>221</v>
      </c>
      <c r="W22" s="3"/>
      <c r="X22" s="3"/>
      <c r="Y22" s="3"/>
      <c r="Z22" s="3"/>
    </row>
    <row r="23" spans="1:26" ht="14.1" customHeight="1" x14ac:dyDescent="0.15">
      <c r="A23" s="200"/>
      <c r="B23" s="200"/>
      <c r="C23" s="200"/>
      <c r="D23" s="863" t="s">
        <v>269</v>
      </c>
      <c r="E23" s="863"/>
      <c r="F23" s="863"/>
      <c r="G23" s="864"/>
      <c r="H23" s="201" t="s">
        <v>270</v>
      </c>
      <c r="I23" s="202"/>
      <c r="J23" s="50" t="s">
        <v>171</v>
      </c>
      <c r="K23" s="129"/>
      <c r="L23" s="129"/>
      <c r="M23" s="279"/>
      <c r="N23" s="737" t="s">
        <v>271</v>
      </c>
      <c r="O23" s="738"/>
      <c r="P23" s="264">
        <v>1</v>
      </c>
      <c r="Q23" s="129"/>
      <c r="R23" s="144" t="str">
        <f>IF(Q23='3. Parameters kostprijsmodel'!$C$9,'3. Parameters kostprijsmodel'!$D$9,IF(Q23='3. Parameters kostprijsmodel'!$C$10,'3. Parameters kostprijsmodel'!$D$10,IF(Q23='3. Parameters kostprijsmodel'!$C$11,'3. Parameters kostprijsmodel'!$D$11,"")))</f>
        <v/>
      </c>
      <c r="S23" s="129"/>
      <c r="T23" s="144" t="str">
        <f t="shared" ref="T23:T63" si="2">IF(K23="","",K23*P23*R23+S23)</f>
        <v/>
      </c>
      <c r="U23" s="144" t="str">
        <f t="shared" ref="U23:U31" si="3">IF(L23="","",L23*P23*R23+S23)</f>
        <v/>
      </c>
    </row>
    <row r="24" spans="1:26" ht="14.1" customHeight="1" x14ac:dyDescent="0.15">
      <c r="A24" s="200"/>
      <c r="B24" s="200"/>
      <c r="C24" s="200"/>
      <c r="D24" s="865"/>
      <c r="E24" s="865"/>
      <c r="F24" s="865"/>
      <c r="G24" s="866"/>
      <c r="H24" s="890" t="s">
        <v>272</v>
      </c>
      <c r="I24" s="891"/>
      <c r="J24" s="55" t="s">
        <v>171</v>
      </c>
      <c r="K24" s="176"/>
      <c r="L24" s="176"/>
      <c r="M24" s="280"/>
      <c r="N24" s="739"/>
      <c r="O24" s="740"/>
      <c r="P24" s="253">
        <v>1</v>
      </c>
      <c r="Q24" s="176"/>
      <c r="R24" s="151" t="str">
        <f>IF(Q24='3. Parameters kostprijsmodel'!$C$9,'3. Parameters kostprijsmodel'!$D$9,IF(Q24='3. Parameters kostprijsmodel'!$C$10,'3. Parameters kostprijsmodel'!$D$10,IF(Q24='3. Parameters kostprijsmodel'!$C$11,'3. Parameters kostprijsmodel'!$D$11,"")))</f>
        <v/>
      </c>
      <c r="S24" s="176"/>
      <c r="T24" s="151" t="str">
        <f t="shared" si="2"/>
        <v/>
      </c>
      <c r="U24" s="151" t="str">
        <f t="shared" si="3"/>
        <v/>
      </c>
    </row>
    <row r="25" spans="1:26" ht="14.1" customHeight="1" x14ac:dyDescent="0.15">
      <c r="A25" s="200"/>
      <c r="B25" s="200"/>
      <c r="C25" s="200"/>
      <c r="D25" s="865"/>
      <c r="E25" s="865"/>
      <c r="F25" s="865"/>
      <c r="G25" s="866"/>
      <c r="H25" s="203"/>
      <c r="I25" s="204"/>
      <c r="J25" s="28"/>
      <c r="K25" s="66"/>
      <c r="L25" s="66"/>
      <c r="M25" s="48"/>
      <c r="N25" s="251"/>
      <c r="O25" s="259"/>
      <c r="P25" s="259"/>
      <c r="Q25" s="66"/>
      <c r="R25" s="146" t="str">
        <f>IF(Q25='3. Parameters kostprijsmodel'!$C$9,'3. Parameters kostprijsmodel'!$D$9,IF(Q25='3. Parameters kostprijsmodel'!$C$10,'3. Parameters kostprijsmodel'!$D$10,IF(Q25='3. Parameters kostprijsmodel'!$C$11,'3. Parameters kostprijsmodel'!$D$11,"")))</f>
        <v/>
      </c>
      <c r="S25" s="66"/>
      <c r="T25" s="146" t="str">
        <f t="shared" si="2"/>
        <v/>
      </c>
      <c r="U25" s="146" t="str">
        <f t="shared" si="3"/>
        <v/>
      </c>
    </row>
    <row r="26" spans="1:26" ht="14.1" customHeight="1" x14ac:dyDescent="0.15">
      <c r="A26" s="200"/>
      <c r="B26" s="200"/>
      <c r="C26" s="200"/>
      <c r="D26" s="865"/>
      <c r="E26" s="865"/>
      <c r="F26" s="865"/>
      <c r="G26" s="866"/>
      <c r="H26" s="205"/>
      <c r="I26" s="204"/>
      <c r="J26" s="25"/>
      <c r="K26" s="66"/>
      <c r="L26" s="66"/>
      <c r="M26" s="48"/>
      <c r="N26" s="92"/>
      <c r="O26" s="259"/>
      <c r="P26" s="259"/>
      <c r="Q26" s="66"/>
      <c r="R26" s="146" t="str">
        <f>IF(Q26='3. Parameters kostprijsmodel'!$C$9,'3. Parameters kostprijsmodel'!$D$9,IF(Q26='3. Parameters kostprijsmodel'!$C$10,'3. Parameters kostprijsmodel'!$D$10,IF(Q26='3. Parameters kostprijsmodel'!$C$11,'3. Parameters kostprijsmodel'!$D$11,"")))</f>
        <v/>
      </c>
      <c r="S26" s="66"/>
      <c r="T26" s="146" t="str">
        <f t="shared" si="2"/>
        <v/>
      </c>
      <c r="U26" s="146" t="str">
        <f t="shared" si="3"/>
        <v/>
      </c>
    </row>
    <row r="27" spans="1:26" ht="14.1" customHeight="1" x14ac:dyDescent="0.15">
      <c r="A27" s="200"/>
      <c r="B27" s="200"/>
      <c r="C27" s="200"/>
      <c r="D27" s="865"/>
      <c r="E27" s="865"/>
      <c r="F27" s="865"/>
      <c r="G27" s="866"/>
      <c r="H27" s="203"/>
      <c r="I27" s="204"/>
      <c r="J27" s="28"/>
      <c r="K27" s="66"/>
      <c r="L27" s="66"/>
      <c r="M27" s="48"/>
      <c r="N27" s="92"/>
      <c r="O27" s="259"/>
      <c r="P27" s="259"/>
      <c r="Q27" s="66"/>
      <c r="R27" s="146" t="str">
        <f>IF(Q27='3. Parameters kostprijsmodel'!$C$9,'3. Parameters kostprijsmodel'!$D$9,IF(Q27='3. Parameters kostprijsmodel'!$C$10,'3. Parameters kostprijsmodel'!$D$10,IF(Q27='3. Parameters kostprijsmodel'!$C$11,'3. Parameters kostprijsmodel'!$D$11,"")))</f>
        <v/>
      </c>
      <c r="S27" s="66"/>
      <c r="T27" s="146" t="str">
        <f t="shared" si="2"/>
        <v/>
      </c>
      <c r="U27" s="146" t="str">
        <f t="shared" si="3"/>
        <v/>
      </c>
    </row>
    <row r="28" spans="1:26" ht="14.1" customHeight="1" x14ac:dyDescent="0.15">
      <c r="A28" s="200"/>
      <c r="B28" s="200"/>
      <c r="C28" s="200"/>
      <c r="D28" s="865"/>
      <c r="E28" s="865"/>
      <c r="F28" s="865"/>
      <c r="G28" s="866"/>
      <c r="H28" s="203"/>
      <c r="I28" s="204"/>
      <c r="J28" s="28"/>
      <c r="K28" s="66"/>
      <c r="L28" s="66"/>
      <c r="M28" s="48"/>
      <c r="N28" s="92"/>
      <c r="O28" s="259"/>
      <c r="P28" s="259"/>
      <c r="Q28" s="92"/>
      <c r="R28" s="146" t="str">
        <f>IF(Q28='3. Parameters kostprijsmodel'!$C$9,'3. Parameters kostprijsmodel'!$D$9,IF(Q28='3. Parameters kostprijsmodel'!$C$10,'3. Parameters kostprijsmodel'!$D$10,IF(Q28='3. Parameters kostprijsmodel'!$C$11,'3. Parameters kostprijsmodel'!$D$11,"")))</f>
        <v/>
      </c>
      <c r="S28" s="66"/>
      <c r="T28" s="146" t="str">
        <f t="shared" si="2"/>
        <v/>
      </c>
      <c r="U28" s="146" t="str">
        <f t="shared" si="3"/>
        <v/>
      </c>
    </row>
    <row r="29" spans="1:26" ht="14.1" customHeight="1" x14ac:dyDescent="0.15">
      <c r="A29" s="200"/>
      <c r="B29" s="200"/>
      <c r="C29" s="200"/>
      <c r="D29" s="865"/>
      <c r="E29" s="865"/>
      <c r="F29" s="865"/>
      <c r="G29" s="866"/>
      <c r="H29" s="206"/>
      <c r="I29" s="204"/>
      <c r="J29" s="28"/>
      <c r="K29" s="66"/>
      <c r="L29" s="66"/>
      <c r="M29" s="48"/>
      <c r="N29" s="92"/>
      <c r="O29" s="259"/>
      <c r="P29" s="259"/>
      <c r="Q29" s="92"/>
      <c r="R29" s="146" t="str">
        <f>IF(Q29='3. Parameters kostprijsmodel'!$C$9,'3. Parameters kostprijsmodel'!$D$9,IF(Q29='3. Parameters kostprijsmodel'!$C$10,'3. Parameters kostprijsmodel'!$D$10,IF(Q29='3. Parameters kostprijsmodel'!$C$11,'3. Parameters kostprijsmodel'!$D$11,"")))</f>
        <v/>
      </c>
      <c r="S29" s="66"/>
      <c r="T29" s="146" t="str">
        <f t="shared" si="2"/>
        <v/>
      </c>
      <c r="U29" s="146" t="str">
        <f t="shared" si="3"/>
        <v/>
      </c>
    </row>
    <row r="30" spans="1:26" ht="14.1" customHeight="1" x14ac:dyDescent="0.15">
      <c r="A30" s="200"/>
      <c r="B30" s="200"/>
      <c r="C30" s="200"/>
      <c r="D30" s="865"/>
      <c r="E30" s="865"/>
      <c r="F30" s="865"/>
      <c r="G30" s="866"/>
      <c r="H30" s="206"/>
      <c r="I30" s="204"/>
      <c r="J30" s="28"/>
      <c r="K30" s="66"/>
      <c r="L30" s="66"/>
      <c r="M30" s="48"/>
      <c r="N30" s="92"/>
      <c r="O30" s="259"/>
      <c r="P30" s="259"/>
      <c r="Q30" s="92"/>
      <c r="R30" s="146"/>
      <c r="S30" s="66"/>
      <c r="T30" s="146"/>
      <c r="U30" s="146"/>
    </row>
    <row r="31" spans="1:26" ht="14.1" customHeight="1" x14ac:dyDescent="0.15">
      <c r="A31" s="200"/>
      <c r="B31" s="200"/>
      <c r="C31" s="200"/>
      <c r="D31" s="865"/>
      <c r="E31" s="865"/>
      <c r="F31" s="865"/>
      <c r="G31" s="866"/>
      <c r="H31" s="206"/>
      <c r="I31" s="204"/>
      <c r="J31" s="28"/>
      <c r="K31" s="66"/>
      <c r="L31" s="66"/>
      <c r="M31" s="48"/>
      <c r="N31" s="92"/>
      <c r="O31" s="259"/>
      <c r="P31" s="259"/>
      <c r="Q31" s="92"/>
      <c r="R31" s="146" t="str">
        <f>IF(Q31='3. Parameters kostprijsmodel'!$C$9,'3. Parameters kostprijsmodel'!$D$9,IF(Q31='3. Parameters kostprijsmodel'!$C$10,'3. Parameters kostprijsmodel'!$D$10,IF(Q31='3. Parameters kostprijsmodel'!$C$11,'3. Parameters kostprijsmodel'!$D$11,"")))</f>
        <v/>
      </c>
      <c r="S31" s="66"/>
      <c r="T31" s="146" t="str">
        <f t="shared" si="2"/>
        <v/>
      </c>
      <c r="U31" s="146" t="str">
        <f t="shared" si="3"/>
        <v/>
      </c>
    </row>
    <row r="32" spans="1:26" ht="14.1" customHeight="1" x14ac:dyDescent="0.15">
      <c r="A32" s="200"/>
      <c r="B32" s="200"/>
      <c r="C32" s="200"/>
      <c r="D32" s="865"/>
      <c r="E32" s="865"/>
      <c r="F32" s="865"/>
      <c r="G32" s="866"/>
      <c r="H32" s="206"/>
      <c r="I32" s="204"/>
      <c r="J32" s="28"/>
      <c r="K32" s="66"/>
      <c r="L32" s="66"/>
      <c r="M32" s="48"/>
      <c r="N32" s="92"/>
      <c r="O32" s="259"/>
      <c r="P32" s="259"/>
      <c r="Q32" s="92"/>
      <c r="R32" s="146"/>
      <c r="S32" s="66"/>
      <c r="T32" s="146"/>
      <c r="U32" s="146"/>
    </row>
    <row r="33" spans="1:21" ht="14.1" customHeight="1" x14ac:dyDescent="0.15">
      <c r="A33" s="207"/>
      <c r="B33" s="207"/>
      <c r="C33" s="207"/>
      <c r="D33" s="888"/>
      <c r="E33" s="888"/>
      <c r="F33" s="888"/>
      <c r="G33" s="889"/>
      <c r="H33" s="206"/>
      <c r="I33" s="204"/>
      <c r="J33" s="28"/>
      <c r="K33" s="48"/>
      <c r="L33" s="48"/>
      <c r="M33" s="48"/>
      <c r="N33" s="181"/>
      <c r="O33" s="253"/>
      <c r="P33" s="253"/>
      <c r="Q33" s="181"/>
      <c r="R33" s="151"/>
      <c r="S33" s="176"/>
      <c r="T33" s="151"/>
      <c r="U33" s="151"/>
    </row>
    <row r="34" spans="1:21" ht="14.1" customHeight="1" x14ac:dyDescent="0.15">
      <c r="A34" s="208"/>
      <c r="B34" s="208"/>
      <c r="C34" s="208"/>
      <c r="D34" s="863" t="s">
        <v>331</v>
      </c>
      <c r="E34" s="863"/>
      <c r="F34" s="863"/>
      <c r="G34" s="864"/>
      <c r="H34" s="209" t="s">
        <v>332</v>
      </c>
      <c r="I34" s="210"/>
      <c r="J34" s="273" t="s">
        <v>166</v>
      </c>
      <c r="K34" s="258">
        <f>6/'3. Parameters kostprijsmodel'!C29</f>
        <v>2.4E-2</v>
      </c>
      <c r="L34" s="258">
        <f>3.75/'3. Parameters kostprijsmodel'!C29</f>
        <v>1.4999999999999999E-2</v>
      </c>
      <c r="M34" s="281" t="s">
        <v>275</v>
      </c>
      <c r="N34" s="727" t="s">
        <v>276</v>
      </c>
      <c r="O34" s="728"/>
      <c r="P34" s="255">
        <v>1</v>
      </c>
      <c r="Q34" s="71" t="s">
        <v>167</v>
      </c>
      <c r="R34" s="156">
        <f>IF(Q34='3. Parameters kostprijsmodel'!$C$9,'3. Parameters kostprijsmodel'!$D$9,IF(Q34='3. Parameters kostprijsmodel'!$C$10,'3. Parameters kostprijsmodel'!$D$10,IF(Q34='3. Parameters kostprijsmodel'!$C$11,'3. Parameters kostprijsmodel'!$D$11,"")))</f>
        <v>91.68</v>
      </c>
      <c r="S34" s="71">
        <v>0</v>
      </c>
      <c r="T34" s="156">
        <f t="shared" si="2"/>
        <v>2.2003200000000001</v>
      </c>
      <c r="U34" s="156">
        <f>IF(L34="","",L34*P34*R34+S34)</f>
        <v>1.3752</v>
      </c>
    </row>
    <row r="35" spans="1:21" ht="14.1" customHeight="1" x14ac:dyDescent="0.15">
      <c r="A35" s="200"/>
      <c r="B35" s="200"/>
      <c r="C35" s="200"/>
      <c r="D35" s="865"/>
      <c r="E35" s="865"/>
      <c r="F35" s="865"/>
      <c r="G35" s="866"/>
      <c r="H35" s="876" t="s">
        <v>333</v>
      </c>
      <c r="I35" s="877"/>
      <c r="J35" s="128" t="s">
        <v>171</v>
      </c>
      <c r="K35" s="258">
        <f>3.667/'3. Parameters kostprijsmodel'!$C$29</f>
        <v>1.4667999999999999E-2</v>
      </c>
      <c r="L35" s="258">
        <f>3.29166666666667/'3. Parameters kostprijsmodel'!C29</f>
        <v>1.3166666666666681E-2</v>
      </c>
      <c r="M35" s="281" t="s">
        <v>275</v>
      </c>
      <c r="N35" s="727" t="s">
        <v>276</v>
      </c>
      <c r="O35" s="728"/>
      <c r="P35" s="256">
        <v>1</v>
      </c>
      <c r="Q35" s="65" t="s">
        <v>172</v>
      </c>
      <c r="R35" s="157">
        <f>IF(Q35='3. Parameters kostprijsmodel'!$C$9,'3. Parameters kostprijsmodel'!$D$9,IF(Q35='3. Parameters kostprijsmodel'!$C$10,'3. Parameters kostprijsmodel'!$D$10,IF(Q35='3. Parameters kostprijsmodel'!$C$11,'3. Parameters kostprijsmodel'!$D$11,"")))</f>
        <v>66.255819148936169</v>
      </c>
      <c r="S35" s="65">
        <v>0</v>
      </c>
      <c r="T35" s="157">
        <f t="shared" si="2"/>
        <v>0.97184035527659562</v>
      </c>
      <c r="U35" s="157">
        <f t="shared" ref="U35:U63" si="4">IF(L35="","",L35*P35*R35+S35)</f>
        <v>0.87236828546099376</v>
      </c>
    </row>
    <row r="36" spans="1:21" ht="14.1" customHeight="1" x14ac:dyDescent="0.15">
      <c r="A36" s="200"/>
      <c r="B36" s="200"/>
      <c r="C36" s="200"/>
      <c r="D36" s="865"/>
      <c r="E36" s="865"/>
      <c r="F36" s="865"/>
      <c r="G36" s="866"/>
      <c r="H36" s="869" t="s">
        <v>333</v>
      </c>
      <c r="I36" s="870"/>
      <c r="J36" s="274" t="s">
        <v>166</v>
      </c>
      <c r="K36" s="258">
        <f>3.167/'3. Parameters kostprijsmodel'!C29</f>
        <v>1.2667999999999999E-2</v>
      </c>
      <c r="L36" s="258">
        <f>3.167/'3. Parameters kostprijsmodel'!C29</f>
        <v>1.2667999999999999E-2</v>
      </c>
      <c r="M36" s="282" t="s">
        <v>275</v>
      </c>
      <c r="N36" s="727" t="s">
        <v>276</v>
      </c>
      <c r="O36" s="728"/>
      <c r="P36" s="105">
        <v>1</v>
      </c>
      <c r="Q36" s="289" t="s">
        <v>167</v>
      </c>
      <c r="R36" s="158">
        <f>IF(Q36='3. Parameters kostprijsmodel'!$C$9,'3. Parameters kostprijsmodel'!$D$9,IF(Q36='3. Parameters kostprijsmodel'!$C$10,'3. Parameters kostprijsmodel'!$D$10,IF(Q36='3. Parameters kostprijsmodel'!$C$11,'3. Parameters kostprijsmodel'!$D$11,"")))</f>
        <v>91.68</v>
      </c>
      <c r="S36" s="68">
        <v>0</v>
      </c>
      <c r="T36" s="158">
        <f>IF(K36="","",K36*P36*R36+S36)</f>
        <v>1.1614022399999999</v>
      </c>
      <c r="U36" s="158">
        <f t="shared" si="4"/>
        <v>1.1614022399999999</v>
      </c>
    </row>
    <row r="37" spans="1:21" ht="14.1" customHeight="1" x14ac:dyDescent="0.15">
      <c r="A37" s="200"/>
      <c r="B37" s="200"/>
      <c r="C37" s="200"/>
      <c r="D37" s="865"/>
      <c r="E37" s="865"/>
      <c r="F37" s="865"/>
      <c r="G37" s="866"/>
      <c r="H37" s="211"/>
      <c r="I37" s="212"/>
      <c r="J37" s="127"/>
      <c r="K37" s="276"/>
      <c r="L37" s="192"/>
      <c r="M37" s="127"/>
      <c r="N37" s="276"/>
      <c r="O37" s="192"/>
      <c r="P37" s="127"/>
      <c r="Q37" s="127"/>
      <c r="R37" s="184" t="str">
        <f>IF(Q37='3. Parameters kostprijsmodel'!$C$9,'3. Parameters kostprijsmodel'!$D$9,IF(Q37='3. Parameters kostprijsmodel'!$C$10,'3. Parameters kostprijsmodel'!$D$10,IF(Q37='3. Parameters kostprijsmodel'!$C$11,'3. Parameters kostprijsmodel'!$D$11,"")))</f>
        <v/>
      </c>
      <c r="S37" s="127"/>
      <c r="T37" s="185" t="str">
        <f t="shared" si="2"/>
        <v/>
      </c>
      <c r="U37" s="185" t="str">
        <f t="shared" si="4"/>
        <v/>
      </c>
    </row>
    <row r="38" spans="1:21" ht="14.1" customHeight="1" x14ac:dyDescent="0.15">
      <c r="A38" s="200"/>
      <c r="B38" s="200"/>
      <c r="C38" s="200"/>
      <c r="D38" s="865"/>
      <c r="E38" s="865"/>
      <c r="F38" s="865"/>
      <c r="G38" s="866"/>
      <c r="H38" s="205"/>
      <c r="I38" s="204"/>
      <c r="J38" s="25"/>
      <c r="K38" s="72"/>
      <c r="L38" s="72"/>
      <c r="M38" s="46"/>
      <c r="N38" s="93"/>
      <c r="O38" s="259"/>
      <c r="P38" s="48"/>
      <c r="Q38" s="259"/>
      <c r="R38" s="146" t="str">
        <f>IF(Q38='3. Parameters kostprijsmodel'!$C$9,'3. Parameters kostprijsmodel'!$D$9,IF(Q38='3. Parameters kostprijsmodel'!$C$10,'3. Parameters kostprijsmodel'!$D$10,IF(Q38='3. Parameters kostprijsmodel'!$C$11,'3. Parameters kostprijsmodel'!$D$11,"")))</f>
        <v/>
      </c>
      <c r="S38" s="66"/>
      <c r="T38" s="146" t="str">
        <f t="shared" si="2"/>
        <v/>
      </c>
      <c r="U38" s="146" t="str">
        <f t="shared" si="4"/>
        <v/>
      </c>
    </row>
    <row r="39" spans="1:21" ht="14.1" customHeight="1" x14ac:dyDescent="0.15">
      <c r="A39" s="207"/>
      <c r="B39" s="207"/>
      <c r="C39" s="200"/>
      <c r="D39" s="865"/>
      <c r="E39" s="865"/>
      <c r="F39" s="865"/>
      <c r="G39" s="866"/>
      <c r="H39" s="213"/>
      <c r="I39" s="214"/>
      <c r="J39" s="30"/>
      <c r="K39" s="176"/>
      <c r="L39" s="176"/>
      <c r="M39" s="56"/>
      <c r="N39" s="181"/>
      <c r="O39" s="253"/>
      <c r="P39" s="56"/>
      <c r="Q39" s="253"/>
      <c r="R39" s="151" t="str">
        <f>IF(Q39='3. Parameters kostprijsmodel'!$C$9,'3. Parameters kostprijsmodel'!$D$9,IF(Q39='3. Parameters kostprijsmodel'!$C$10,'3. Parameters kostprijsmodel'!$D$10,IF(Q39='3. Parameters kostprijsmodel'!$C$11,'3. Parameters kostprijsmodel'!$D$11,"")))</f>
        <v/>
      </c>
      <c r="S39" s="176"/>
      <c r="T39" s="151" t="str">
        <f t="shared" si="2"/>
        <v/>
      </c>
      <c r="U39" s="151" t="str">
        <f t="shared" si="4"/>
        <v/>
      </c>
    </row>
    <row r="40" spans="1:21" ht="14.1" customHeight="1" x14ac:dyDescent="0.15">
      <c r="A40" s="208"/>
      <c r="B40" s="208"/>
      <c r="C40" s="208"/>
      <c r="D40" s="859" t="s">
        <v>334</v>
      </c>
      <c r="E40" s="859"/>
      <c r="F40" s="859"/>
      <c r="G40" s="860"/>
      <c r="H40" s="867" t="s">
        <v>314</v>
      </c>
      <c r="I40" s="868"/>
      <c r="J40" s="273" t="s">
        <v>166</v>
      </c>
      <c r="K40" s="258">
        <v>8.5478883861236823E-2</v>
      </c>
      <c r="L40" s="258">
        <v>4.4807692307692312E-2</v>
      </c>
      <c r="M40" s="281" t="s">
        <v>275</v>
      </c>
      <c r="N40" s="727" t="s">
        <v>282</v>
      </c>
      <c r="O40" s="728"/>
      <c r="P40" s="506">
        <v>5</v>
      </c>
      <c r="Q40" s="255" t="s">
        <v>169</v>
      </c>
      <c r="R40" s="156">
        <f>IF(Q40='3. Parameters kostprijsmodel'!$C$9,'3. Parameters kostprijsmodel'!$D$9,IF(Q40='3. Parameters kostprijsmodel'!$C$10,'3. Parameters kostprijsmodel'!$D$10,IF(Q40='3. Parameters kostprijsmodel'!$C$11,'3. Parameters kostprijsmodel'!$D$11,"")))</f>
        <v>76.03</v>
      </c>
      <c r="S40" s="71">
        <v>0</v>
      </c>
      <c r="T40" s="156">
        <f>IF(K40="","",K40*P40*R40+S40)</f>
        <v>32.49479769984918</v>
      </c>
      <c r="U40" s="156">
        <f>IF(L40="","",L40*P40*R40+S40)</f>
        <v>17.033644230769234</v>
      </c>
    </row>
    <row r="41" spans="1:21" ht="14.1" customHeight="1" x14ac:dyDescent="0.15">
      <c r="A41" s="200"/>
      <c r="B41" s="200"/>
      <c r="C41" s="200"/>
      <c r="D41" s="861"/>
      <c r="E41" s="861"/>
      <c r="F41" s="861"/>
      <c r="G41" s="862"/>
      <c r="H41" s="215" t="s">
        <v>315</v>
      </c>
      <c r="I41" s="216"/>
      <c r="J41" s="274" t="s">
        <v>166</v>
      </c>
      <c r="K41" s="68">
        <v>0</v>
      </c>
      <c r="L41" s="68">
        <v>0</v>
      </c>
      <c r="M41" s="282" t="s">
        <v>275</v>
      </c>
      <c r="N41" s="727" t="s">
        <v>282</v>
      </c>
      <c r="O41" s="728"/>
      <c r="P41" s="105">
        <v>1</v>
      </c>
      <c r="Q41" s="289" t="s">
        <v>169</v>
      </c>
      <c r="R41" s="158">
        <f>IF(Q41='3. Parameters kostprijsmodel'!$C$9,'3. Parameters kostprijsmodel'!$D$9,IF(Q41='3. Parameters kostprijsmodel'!$C$10,'3. Parameters kostprijsmodel'!$D$10,IF(Q41='3. Parameters kostprijsmodel'!$C$11,'3. Parameters kostprijsmodel'!$D$11,"")))</f>
        <v>76.03</v>
      </c>
      <c r="S41" s="68">
        <v>0</v>
      </c>
      <c r="T41" s="158">
        <f t="shared" si="2"/>
        <v>0</v>
      </c>
      <c r="U41" s="158">
        <f t="shared" si="4"/>
        <v>0</v>
      </c>
    </row>
    <row r="42" spans="1:21" ht="14.1" customHeight="1" x14ac:dyDescent="0.15">
      <c r="A42" s="200"/>
      <c r="B42" s="200"/>
      <c r="C42" s="200"/>
      <c r="D42" s="861"/>
      <c r="E42" s="861"/>
      <c r="F42" s="861"/>
      <c r="G42" s="862"/>
      <c r="H42" s="217"/>
      <c r="I42" s="218"/>
      <c r="J42" s="25"/>
      <c r="K42" s="66"/>
      <c r="L42" s="66"/>
      <c r="M42" s="48"/>
      <c r="N42" s="92"/>
      <c r="O42" s="259"/>
      <c r="P42" s="48"/>
      <c r="Q42" s="259"/>
      <c r="R42" s="146" t="str">
        <f>IF(Q42='3. Parameters kostprijsmodel'!$C$9,'3. Parameters kostprijsmodel'!$D$9,IF(Q42='3. Parameters kostprijsmodel'!$C$10,'3. Parameters kostprijsmodel'!$D$10,IF(Q42='3. Parameters kostprijsmodel'!$C$11,'3. Parameters kostprijsmodel'!$D$11,"")))</f>
        <v/>
      </c>
      <c r="S42" s="66"/>
      <c r="T42" s="146" t="str">
        <f t="shared" si="2"/>
        <v/>
      </c>
      <c r="U42" s="146" t="str">
        <f t="shared" si="4"/>
        <v/>
      </c>
    </row>
    <row r="43" spans="1:21" ht="14.1" customHeight="1" x14ac:dyDescent="0.15">
      <c r="A43" s="200"/>
      <c r="B43" s="200"/>
      <c r="C43" s="200"/>
      <c r="D43" s="861"/>
      <c r="E43" s="861"/>
      <c r="F43" s="861"/>
      <c r="G43" s="862"/>
      <c r="H43" s="217"/>
      <c r="I43" s="218"/>
      <c r="J43" s="25"/>
      <c r="K43" s="66"/>
      <c r="L43" s="66"/>
      <c r="M43" s="48"/>
      <c r="N43" s="92"/>
      <c r="O43" s="259"/>
      <c r="P43" s="48"/>
      <c r="Q43" s="259"/>
      <c r="R43" s="146" t="str">
        <f>IF(Q43='3. Parameters kostprijsmodel'!$C$9,'3. Parameters kostprijsmodel'!$D$9,IF(Q43='3. Parameters kostprijsmodel'!$C$10,'3. Parameters kostprijsmodel'!$D$10,IF(Q43='3. Parameters kostprijsmodel'!$C$11,'3. Parameters kostprijsmodel'!$D$11,"")))</f>
        <v/>
      </c>
      <c r="S43" s="66"/>
      <c r="T43" s="146" t="str">
        <f t="shared" si="2"/>
        <v/>
      </c>
      <c r="U43" s="146" t="str">
        <f t="shared" si="4"/>
        <v/>
      </c>
    </row>
    <row r="44" spans="1:21" ht="14.1" customHeight="1" x14ac:dyDescent="0.15">
      <c r="A44" s="200"/>
      <c r="B44" s="200"/>
      <c r="C44" s="200"/>
      <c r="D44" s="861"/>
      <c r="E44" s="861"/>
      <c r="F44" s="861"/>
      <c r="G44" s="862"/>
      <c r="H44" s="219"/>
      <c r="I44" s="218"/>
      <c r="J44" s="275"/>
      <c r="K44" s="66"/>
      <c r="L44" s="66"/>
      <c r="M44" s="48"/>
      <c r="N44" s="92"/>
      <c r="O44" s="259"/>
      <c r="P44" s="48"/>
      <c r="Q44" s="259"/>
      <c r="R44" s="146" t="str">
        <f>IF(Q44='3. Parameters kostprijsmodel'!$C$9,'3. Parameters kostprijsmodel'!$D$9,IF(Q44='3. Parameters kostprijsmodel'!$C$10,'3. Parameters kostprijsmodel'!$D$10,IF(Q44='3. Parameters kostprijsmodel'!$C$11,'3. Parameters kostprijsmodel'!$D$11,"")))</f>
        <v/>
      </c>
      <c r="S44" s="66"/>
      <c r="T44" s="146" t="str">
        <f t="shared" si="2"/>
        <v/>
      </c>
      <c r="U44" s="146" t="str">
        <f t="shared" si="4"/>
        <v/>
      </c>
    </row>
    <row r="45" spans="1:21" ht="14.1" customHeight="1" x14ac:dyDescent="0.15">
      <c r="A45" s="200"/>
      <c r="B45" s="200"/>
      <c r="C45" s="200"/>
      <c r="D45" s="861"/>
      <c r="E45" s="861"/>
      <c r="F45" s="861"/>
      <c r="G45" s="862"/>
      <c r="H45" s="217"/>
      <c r="I45" s="218"/>
      <c r="J45" s="275"/>
      <c r="K45" s="66"/>
      <c r="L45" s="66"/>
      <c r="M45" s="48"/>
      <c r="N45" s="181"/>
      <c r="O45" s="259"/>
      <c r="P45" s="48"/>
      <c r="Q45" s="259"/>
      <c r="R45" s="146" t="str">
        <f>IF(Q45='3. Parameters kostprijsmodel'!$C$9,'3. Parameters kostprijsmodel'!$D$9,IF(Q45='3. Parameters kostprijsmodel'!$C$10,'3. Parameters kostprijsmodel'!$D$10,IF(Q45='3. Parameters kostprijsmodel'!$C$11,'3. Parameters kostprijsmodel'!$D$11,"")))</f>
        <v/>
      </c>
      <c r="S45" s="66"/>
      <c r="T45" s="146" t="str">
        <f t="shared" si="2"/>
        <v/>
      </c>
      <c r="U45" s="146" t="str">
        <f t="shared" si="4"/>
        <v/>
      </c>
    </row>
    <row r="46" spans="1:21" ht="14.1" customHeight="1" x14ac:dyDescent="0.15">
      <c r="A46" s="208"/>
      <c r="B46" s="208"/>
      <c r="C46" s="208"/>
      <c r="D46" s="861" t="s">
        <v>335</v>
      </c>
      <c r="E46" s="861"/>
      <c r="F46" s="861"/>
      <c r="G46" s="862"/>
      <c r="H46" s="880" t="s">
        <v>336</v>
      </c>
      <c r="I46" s="877"/>
      <c r="J46" s="128" t="s">
        <v>166</v>
      </c>
      <c r="K46" s="258">
        <f>K40*30%</f>
        <v>2.5643665158371045E-2</v>
      </c>
      <c r="L46" s="258">
        <f>L40*30%</f>
        <v>1.3442307692307693E-2</v>
      </c>
      <c r="M46" s="281" t="s">
        <v>275</v>
      </c>
      <c r="N46" s="727" t="s">
        <v>318</v>
      </c>
      <c r="O46" s="728"/>
      <c r="P46" s="47">
        <v>1</v>
      </c>
      <c r="Q46" s="256" t="s">
        <v>169</v>
      </c>
      <c r="R46" s="157">
        <f>IF(Q46='3. Parameters kostprijsmodel'!$C$9,'3. Parameters kostprijsmodel'!$D$9,IF(Q46='3. Parameters kostprijsmodel'!$C$10,'3. Parameters kostprijsmodel'!$D$10,IF(Q46='3. Parameters kostprijsmodel'!$C$11,'3. Parameters kostprijsmodel'!$D$11,"")))</f>
        <v>76.03</v>
      </c>
      <c r="S46" s="65">
        <v>0</v>
      </c>
      <c r="T46" s="157">
        <f>IF(K46="","",K46*P46*R46+S46)</f>
        <v>1.9496878619909506</v>
      </c>
      <c r="U46" s="157">
        <f t="shared" si="4"/>
        <v>1.022018653846154</v>
      </c>
    </row>
    <row r="47" spans="1:21" ht="14.1" customHeight="1" x14ac:dyDescent="0.15">
      <c r="A47" s="200"/>
      <c r="B47" s="200"/>
      <c r="C47" s="200"/>
      <c r="D47" s="861"/>
      <c r="E47" s="861"/>
      <c r="F47" s="861"/>
      <c r="G47" s="862"/>
      <c r="H47" s="220" t="s">
        <v>337</v>
      </c>
      <c r="I47" s="221"/>
      <c r="J47" s="128" t="s">
        <v>166</v>
      </c>
      <c r="K47" s="258">
        <v>0</v>
      </c>
      <c r="L47" s="258">
        <v>0</v>
      </c>
      <c r="M47" s="281" t="s">
        <v>275</v>
      </c>
      <c r="N47" s="727" t="s">
        <v>282</v>
      </c>
      <c r="O47" s="728"/>
      <c r="P47" s="256">
        <v>1</v>
      </c>
      <c r="Q47" s="65" t="s">
        <v>169</v>
      </c>
      <c r="R47" s="157">
        <f>IF(Q47='3. Parameters kostprijsmodel'!$C$9,'3. Parameters kostprijsmodel'!$D$9,IF(Q47='3. Parameters kostprijsmodel'!$C$10,'3. Parameters kostprijsmodel'!$D$10,IF(Q47='3. Parameters kostprijsmodel'!$C$11,'3. Parameters kostprijsmodel'!$D$11,"")))</f>
        <v>76.03</v>
      </c>
      <c r="S47" s="65">
        <v>0</v>
      </c>
      <c r="T47" s="157">
        <f t="shared" si="2"/>
        <v>0</v>
      </c>
      <c r="U47" s="157">
        <f t="shared" si="4"/>
        <v>0</v>
      </c>
    </row>
    <row r="48" spans="1:21" ht="14.1" customHeight="1" x14ac:dyDescent="0.15">
      <c r="A48" s="200"/>
      <c r="B48" s="200"/>
      <c r="C48" s="200"/>
      <c r="D48" s="861"/>
      <c r="E48" s="861"/>
      <c r="F48" s="861"/>
      <c r="G48" s="862"/>
      <c r="H48" s="206"/>
      <c r="I48" s="204"/>
      <c r="J48" s="28"/>
      <c r="K48" s="66"/>
      <c r="L48" s="66"/>
      <c r="M48" s="48"/>
      <c r="N48" s="92"/>
      <c r="O48" s="259"/>
      <c r="P48" s="259"/>
      <c r="Q48" s="66"/>
      <c r="R48" s="146" t="str">
        <f>IF(Q48='3. Parameters kostprijsmodel'!$C$9,'3. Parameters kostprijsmodel'!$D$9,IF(Q48='3. Parameters kostprijsmodel'!$C$10,'3. Parameters kostprijsmodel'!$D$10,IF(Q48='3. Parameters kostprijsmodel'!$C$11,'3. Parameters kostprijsmodel'!$D$11,"")))</f>
        <v/>
      </c>
      <c r="S48" s="66"/>
      <c r="T48" s="146" t="str">
        <f t="shared" si="2"/>
        <v/>
      </c>
      <c r="U48" s="146" t="str">
        <f t="shared" si="4"/>
        <v/>
      </c>
    </row>
    <row r="49" spans="1:21" ht="14.1" customHeight="1" x14ac:dyDescent="0.15">
      <c r="A49" s="200"/>
      <c r="B49" s="200"/>
      <c r="C49" s="200"/>
      <c r="D49" s="861"/>
      <c r="E49" s="861"/>
      <c r="F49" s="861"/>
      <c r="G49" s="862"/>
      <c r="H49" s="219"/>
      <c r="I49" s="204"/>
      <c r="J49" s="25"/>
      <c r="K49" s="66"/>
      <c r="L49" s="66"/>
      <c r="M49" s="48"/>
      <c r="N49" s="92"/>
      <c r="O49" s="259"/>
      <c r="P49" s="48"/>
      <c r="Q49" s="259"/>
      <c r="R49" s="146" t="str">
        <f>IF(Q49='3. Parameters kostprijsmodel'!$C$9,'3. Parameters kostprijsmodel'!$D$9,IF(Q49='3. Parameters kostprijsmodel'!$C$10,'3. Parameters kostprijsmodel'!$D$10,IF(Q49='3. Parameters kostprijsmodel'!$C$11,'3. Parameters kostprijsmodel'!$D$11,"")))</f>
        <v/>
      </c>
      <c r="S49" s="66"/>
      <c r="T49" s="146" t="str">
        <f t="shared" si="2"/>
        <v/>
      </c>
      <c r="U49" s="146" t="str">
        <f t="shared" si="4"/>
        <v/>
      </c>
    </row>
    <row r="50" spans="1:21" ht="14.1" customHeight="1" x14ac:dyDescent="0.15">
      <c r="A50" s="200"/>
      <c r="B50" s="200"/>
      <c r="C50" s="200"/>
      <c r="D50" s="861"/>
      <c r="E50" s="861"/>
      <c r="F50" s="861"/>
      <c r="G50" s="862"/>
      <c r="H50" s="206"/>
      <c r="I50" s="204"/>
      <c r="J50" s="28"/>
      <c r="K50" s="66"/>
      <c r="L50" s="66"/>
      <c r="M50" s="48"/>
      <c r="N50" s="92"/>
      <c r="O50" s="259"/>
      <c r="P50" s="48"/>
      <c r="Q50" s="259"/>
      <c r="R50" s="146" t="str">
        <f>IF(Q50='3. Parameters kostprijsmodel'!$C$9,'3. Parameters kostprijsmodel'!$D$9,IF(Q50='3. Parameters kostprijsmodel'!$C$10,'3. Parameters kostprijsmodel'!$D$10,IF(Q50='3. Parameters kostprijsmodel'!$C$11,'3. Parameters kostprijsmodel'!$D$11,"")))</f>
        <v/>
      </c>
      <c r="S50" s="66"/>
      <c r="T50" s="146" t="str">
        <f t="shared" si="2"/>
        <v/>
      </c>
      <c r="U50" s="146" t="str">
        <f t="shared" si="4"/>
        <v/>
      </c>
    </row>
    <row r="51" spans="1:21" ht="14.1" customHeight="1" x14ac:dyDescent="0.15">
      <c r="A51" s="200"/>
      <c r="B51" s="200"/>
      <c r="C51" s="207"/>
      <c r="D51" s="861"/>
      <c r="E51" s="861"/>
      <c r="F51" s="861"/>
      <c r="G51" s="862"/>
      <c r="H51" s="206"/>
      <c r="I51" s="204"/>
      <c r="J51" s="28"/>
      <c r="K51" s="66"/>
      <c r="L51" s="66"/>
      <c r="M51" s="48"/>
      <c r="N51" s="181"/>
      <c r="O51" s="259"/>
      <c r="P51" s="48"/>
      <c r="Q51" s="259"/>
      <c r="R51" s="146" t="str">
        <f>IF(Q51='3. Parameters kostprijsmodel'!$C$9,'3. Parameters kostprijsmodel'!$D$9,IF(Q51='3. Parameters kostprijsmodel'!$C$10,'3. Parameters kostprijsmodel'!$D$10,IF(Q51='3. Parameters kostprijsmodel'!$C$11,'3. Parameters kostprijsmodel'!$D$11,"")))</f>
        <v/>
      </c>
      <c r="S51" s="66"/>
      <c r="T51" s="146" t="str">
        <f t="shared" si="2"/>
        <v/>
      </c>
      <c r="U51" s="146" t="str">
        <f t="shared" si="4"/>
        <v/>
      </c>
    </row>
    <row r="52" spans="1:21" ht="14.1" customHeight="1" x14ac:dyDescent="0.15">
      <c r="A52" s="208"/>
      <c r="B52" s="208"/>
      <c r="C52" s="208"/>
      <c r="D52" s="861" t="s">
        <v>338</v>
      </c>
      <c r="E52" s="861"/>
      <c r="F52" s="861"/>
      <c r="G52" s="862"/>
      <c r="H52" s="880" t="s">
        <v>339</v>
      </c>
      <c r="I52" s="877"/>
      <c r="J52" s="128" t="s">
        <v>166</v>
      </c>
      <c r="K52" s="258">
        <f>9.333/'3. Parameters kostprijsmodel'!C29</f>
        <v>3.7332000000000004E-2</v>
      </c>
      <c r="L52" s="258">
        <f>9.333/'3. Parameters kostprijsmodel'!C29</f>
        <v>3.7332000000000004E-2</v>
      </c>
      <c r="M52" s="281" t="s">
        <v>275</v>
      </c>
      <c r="N52" s="727" t="s">
        <v>276</v>
      </c>
      <c r="O52" s="728"/>
      <c r="P52" s="47">
        <v>1</v>
      </c>
      <c r="Q52" s="256" t="s">
        <v>167</v>
      </c>
      <c r="R52" s="157">
        <f>IF(Q52='3. Parameters kostprijsmodel'!$C$9,'3. Parameters kostprijsmodel'!$D$9,IF(Q52='3. Parameters kostprijsmodel'!$C$10,'3. Parameters kostprijsmodel'!$D$10,IF(Q52='3. Parameters kostprijsmodel'!$C$11,'3. Parameters kostprijsmodel'!$D$11,"")))</f>
        <v>91.68</v>
      </c>
      <c r="S52" s="65">
        <v>0</v>
      </c>
      <c r="T52" s="157">
        <f t="shared" si="2"/>
        <v>3.4225977600000008</v>
      </c>
      <c r="U52" s="157">
        <f t="shared" si="4"/>
        <v>3.4225977600000008</v>
      </c>
    </row>
    <row r="53" spans="1:21" ht="14.1" customHeight="1" x14ac:dyDescent="0.15">
      <c r="A53" s="200"/>
      <c r="B53" s="200"/>
      <c r="C53" s="200"/>
      <c r="D53" s="861"/>
      <c r="E53" s="861"/>
      <c r="F53" s="861"/>
      <c r="G53" s="862"/>
      <c r="H53" s="876" t="s">
        <v>340</v>
      </c>
      <c r="I53" s="877"/>
      <c r="J53" s="128" t="s">
        <v>166</v>
      </c>
      <c r="K53" s="258">
        <f>17.333/'3. Parameters kostprijsmodel'!C29</f>
        <v>6.9331999999999991E-2</v>
      </c>
      <c r="L53" s="258">
        <f>17.333/'3. Parameters kostprijsmodel'!C29</f>
        <v>6.9331999999999991E-2</v>
      </c>
      <c r="M53" s="281" t="s">
        <v>275</v>
      </c>
      <c r="N53" s="727" t="s">
        <v>276</v>
      </c>
      <c r="O53" s="728"/>
      <c r="P53" s="91">
        <v>1</v>
      </c>
      <c r="Q53" s="90" t="s">
        <v>167</v>
      </c>
      <c r="R53" s="148">
        <f>IF(Q53='3. Parameters kostprijsmodel'!$C$9,'3. Parameters kostprijsmodel'!$D$9,IF(Q53='3. Parameters kostprijsmodel'!$C$10,'3. Parameters kostprijsmodel'!$D$10,IF(Q53='3. Parameters kostprijsmodel'!$C$11,'3. Parameters kostprijsmodel'!$D$11,"")))</f>
        <v>91.68</v>
      </c>
      <c r="S53" s="90">
        <v>0</v>
      </c>
      <c r="T53" s="148">
        <f t="shared" si="2"/>
        <v>6.3563577599999999</v>
      </c>
      <c r="U53" s="148">
        <f t="shared" si="4"/>
        <v>6.3563577599999999</v>
      </c>
    </row>
    <row r="54" spans="1:21" ht="14.1" customHeight="1" x14ac:dyDescent="0.15">
      <c r="A54" s="200"/>
      <c r="B54" s="200"/>
      <c r="C54" s="200"/>
      <c r="D54" s="861"/>
      <c r="E54" s="861"/>
      <c r="F54" s="861"/>
      <c r="G54" s="862"/>
      <c r="H54" s="220" t="s">
        <v>341</v>
      </c>
      <c r="I54" s="221"/>
      <c r="J54" s="128" t="s">
        <v>166</v>
      </c>
      <c r="K54" s="258">
        <f>3.833/'3. Parameters kostprijsmodel'!C29</f>
        <v>1.5332E-2</v>
      </c>
      <c r="L54" s="258">
        <f>3.833/'3. Parameters kostprijsmodel'!C29</f>
        <v>1.5332E-2</v>
      </c>
      <c r="M54" s="281" t="s">
        <v>275</v>
      </c>
      <c r="N54" s="727" t="s">
        <v>276</v>
      </c>
      <c r="O54" s="728"/>
      <c r="P54" s="256">
        <v>1</v>
      </c>
      <c r="Q54" s="65" t="s">
        <v>167</v>
      </c>
      <c r="R54" s="157">
        <f>IF(Q54='3. Parameters kostprijsmodel'!$C$9,'3. Parameters kostprijsmodel'!$D$9,IF(Q54='3. Parameters kostprijsmodel'!$C$10,'3. Parameters kostprijsmodel'!$D$10,IF(Q54='3. Parameters kostprijsmodel'!$C$11,'3. Parameters kostprijsmodel'!$D$11,"")))</f>
        <v>91.68</v>
      </c>
      <c r="S54" s="65">
        <v>0</v>
      </c>
      <c r="T54" s="157">
        <f t="shared" si="2"/>
        <v>1.4056377600000001</v>
      </c>
      <c r="U54" s="157">
        <f t="shared" si="4"/>
        <v>1.4056377600000001</v>
      </c>
    </row>
    <row r="55" spans="1:21" ht="14.1" customHeight="1" x14ac:dyDescent="0.15">
      <c r="A55" s="200"/>
      <c r="B55" s="200"/>
      <c r="C55" s="200"/>
      <c r="D55" s="861"/>
      <c r="E55" s="861"/>
      <c r="F55" s="861"/>
      <c r="G55" s="862"/>
      <c r="H55" s="206"/>
      <c r="I55" s="204"/>
      <c r="J55" s="28"/>
      <c r="K55" s="66"/>
      <c r="L55" s="66"/>
      <c r="M55" s="48"/>
      <c r="N55" s="92"/>
      <c r="O55" s="259"/>
      <c r="P55" s="283"/>
      <c r="Q55" s="72"/>
      <c r="R55" s="153" t="str">
        <f>IF(Q55='3. Parameters kostprijsmodel'!$C$9,'3. Parameters kostprijsmodel'!$D$9,IF(Q55='3. Parameters kostprijsmodel'!$C$10,'3. Parameters kostprijsmodel'!$D$10,IF(Q55='3. Parameters kostprijsmodel'!$C$11,'3. Parameters kostprijsmodel'!$D$11,"")))</f>
        <v/>
      </c>
      <c r="S55" s="72"/>
      <c r="T55" s="153" t="str">
        <f t="shared" si="2"/>
        <v/>
      </c>
      <c r="U55" s="153" t="str">
        <f t="shared" si="4"/>
        <v/>
      </c>
    </row>
    <row r="56" spans="1:21" ht="14.1" customHeight="1" x14ac:dyDescent="0.15">
      <c r="A56" s="200"/>
      <c r="B56" s="200"/>
      <c r="C56" s="200"/>
      <c r="D56" s="861"/>
      <c r="E56" s="861"/>
      <c r="F56" s="861"/>
      <c r="G56" s="862"/>
      <c r="H56" s="219"/>
      <c r="I56" s="204"/>
      <c r="J56" s="25"/>
      <c r="K56" s="66"/>
      <c r="L56" s="66"/>
      <c r="M56" s="48"/>
      <c r="N56" s="92"/>
      <c r="O56" s="259"/>
      <c r="P56" s="283"/>
      <c r="Q56" s="72"/>
      <c r="R56" s="153" t="str">
        <f>IF(Q56='3. Parameters kostprijsmodel'!$C$9,'3. Parameters kostprijsmodel'!$D$9,IF(Q56='3. Parameters kostprijsmodel'!$C$10,'3. Parameters kostprijsmodel'!$D$10,IF(Q56='3. Parameters kostprijsmodel'!$C$11,'3. Parameters kostprijsmodel'!$D$11,"")))</f>
        <v/>
      </c>
      <c r="S56" s="72"/>
      <c r="T56" s="153" t="str">
        <f t="shared" si="2"/>
        <v/>
      </c>
      <c r="U56" s="153" t="str">
        <f t="shared" si="4"/>
        <v/>
      </c>
    </row>
    <row r="57" spans="1:21" ht="14.1" customHeight="1" x14ac:dyDescent="0.15">
      <c r="A57" s="207"/>
      <c r="B57" s="207"/>
      <c r="C57" s="207"/>
      <c r="D57" s="861"/>
      <c r="E57" s="861"/>
      <c r="F57" s="861"/>
      <c r="G57" s="862"/>
      <c r="H57" s="206"/>
      <c r="I57" s="204"/>
      <c r="J57" s="28"/>
      <c r="K57" s="72"/>
      <c r="L57" s="72"/>
      <c r="M57" s="46"/>
      <c r="N57" s="94"/>
      <c r="O57" s="259"/>
      <c r="P57" s="283"/>
      <c r="Q57" s="72"/>
      <c r="R57" s="153" t="str">
        <f>IF(Q57='3. Parameters kostprijsmodel'!$C$9,'3. Parameters kostprijsmodel'!$D$9,IF(Q57='3. Parameters kostprijsmodel'!$C$10,'3. Parameters kostprijsmodel'!$D$10,IF(Q57='3. Parameters kostprijsmodel'!$C$11,'3. Parameters kostprijsmodel'!$D$11,"")))</f>
        <v/>
      </c>
      <c r="S57" s="72"/>
      <c r="T57" s="153" t="str">
        <f t="shared" si="2"/>
        <v/>
      </c>
      <c r="U57" s="153" t="str">
        <f t="shared" si="4"/>
        <v/>
      </c>
    </row>
    <row r="58" spans="1:21" ht="14.1" customHeight="1" x14ac:dyDescent="0.15">
      <c r="A58" s="208"/>
      <c r="B58" s="208"/>
      <c r="C58" s="208"/>
      <c r="D58" s="861" t="s">
        <v>342</v>
      </c>
      <c r="E58" s="861"/>
      <c r="F58" s="861"/>
      <c r="G58" s="862"/>
      <c r="H58" s="880" t="s">
        <v>343</v>
      </c>
      <c r="I58" s="877"/>
      <c r="J58" s="128" t="s">
        <v>171</v>
      </c>
      <c r="K58" s="258">
        <f>5/'3. Parameters kostprijsmodel'!C29</f>
        <v>0.02</v>
      </c>
      <c r="L58" s="258">
        <f>5/'3. Parameters kostprijsmodel'!C29</f>
        <v>0.02</v>
      </c>
      <c r="M58" s="281" t="s">
        <v>275</v>
      </c>
      <c r="N58" s="727" t="s">
        <v>276</v>
      </c>
      <c r="O58" s="728"/>
      <c r="P58" s="256">
        <v>1</v>
      </c>
      <c r="Q58" s="65" t="s">
        <v>172</v>
      </c>
      <c r="R58" s="157">
        <f>IF(Q58='3. Parameters kostprijsmodel'!$C$9,'3. Parameters kostprijsmodel'!$D$9,IF(Q58='3. Parameters kostprijsmodel'!$C$10,'3. Parameters kostprijsmodel'!$D$10,IF(Q58='3. Parameters kostprijsmodel'!$C$11,'3. Parameters kostprijsmodel'!$D$11,"")))</f>
        <v>66.255819148936169</v>
      </c>
      <c r="S58" s="65">
        <v>0</v>
      </c>
      <c r="T58" s="157">
        <f>IF(K58="","",K58*P58*R58+S58)</f>
        <v>1.3251163829787234</v>
      </c>
      <c r="U58" s="157">
        <f t="shared" si="4"/>
        <v>1.3251163829787234</v>
      </c>
    </row>
    <row r="59" spans="1:21" ht="14.1" customHeight="1" x14ac:dyDescent="0.15">
      <c r="A59" s="200"/>
      <c r="B59" s="200"/>
      <c r="C59" s="200"/>
      <c r="D59" s="861"/>
      <c r="E59" s="861"/>
      <c r="F59" s="861"/>
      <c r="G59" s="862"/>
      <c r="H59" s="220" t="s">
        <v>344</v>
      </c>
      <c r="I59" s="221"/>
      <c r="J59" s="128" t="s">
        <v>171</v>
      </c>
      <c r="K59" s="258">
        <f>6/'3. Parameters kostprijsmodel'!C29</f>
        <v>2.4E-2</v>
      </c>
      <c r="L59" s="258">
        <f>6/'3. Parameters kostprijsmodel'!C29</f>
        <v>2.4E-2</v>
      </c>
      <c r="M59" s="281" t="s">
        <v>275</v>
      </c>
      <c r="N59" s="727" t="s">
        <v>276</v>
      </c>
      <c r="O59" s="728"/>
      <c r="P59" s="256">
        <v>1</v>
      </c>
      <c r="Q59" s="65" t="s">
        <v>172</v>
      </c>
      <c r="R59" s="157">
        <f>IF(Q59='3. Parameters kostprijsmodel'!$C$9,'3. Parameters kostprijsmodel'!$D$9,IF(Q59='3. Parameters kostprijsmodel'!$C$10,'3. Parameters kostprijsmodel'!$D$10,IF(Q59='3. Parameters kostprijsmodel'!$C$11,'3. Parameters kostprijsmodel'!$D$11,"")))</f>
        <v>66.255819148936169</v>
      </c>
      <c r="S59" s="65">
        <v>0</v>
      </c>
      <c r="T59" s="157">
        <f t="shared" si="2"/>
        <v>1.5901396595744681</v>
      </c>
      <c r="U59" s="157">
        <f>IF(L59="","",L59*P59*R59+S59)</f>
        <v>1.5901396595744681</v>
      </c>
    </row>
    <row r="60" spans="1:21" ht="14.1" customHeight="1" x14ac:dyDescent="0.15">
      <c r="A60" s="200"/>
      <c r="B60" s="200"/>
      <c r="C60" s="200"/>
      <c r="D60" s="861"/>
      <c r="E60" s="861"/>
      <c r="F60" s="861"/>
      <c r="G60" s="862"/>
      <c r="H60" s="206"/>
      <c r="I60" s="204"/>
      <c r="J60" s="28"/>
      <c r="K60" s="66"/>
      <c r="L60" s="66"/>
      <c r="M60" s="48"/>
      <c r="N60" s="92"/>
      <c r="O60" s="259"/>
      <c r="P60" s="259"/>
      <c r="Q60" s="66"/>
      <c r="R60" s="146" t="str">
        <f>IF(Q60='3. Parameters kostprijsmodel'!$C$9,'3. Parameters kostprijsmodel'!$D$9,IF(Q60='3. Parameters kostprijsmodel'!$C$10,'3. Parameters kostprijsmodel'!$D$10,IF(Q60='3. Parameters kostprijsmodel'!$C$11,'3. Parameters kostprijsmodel'!$D$11,"")))</f>
        <v/>
      </c>
      <c r="S60" s="66"/>
      <c r="T60" s="146" t="str">
        <f t="shared" si="2"/>
        <v/>
      </c>
      <c r="U60" s="146" t="str">
        <f t="shared" si="4"/>
        <v/>
      </c>
    </row>
    <row r="61" spans="1:21" ht="14.1" customHeight="1" x14ac:dyDescent="0.15">
      <c r="A61" s="200"/>
      <c r="B61" s="200"/>
      <c r="C61" s="200"/>
      <c r="D61" s="861"/>
      <c r="E61" s="861"/>
      <c r="F61" s="861"/>
      <c r="G61" s="862"/>
      <c r="H61" s="219"/>
      <c r="I61" s="204"/>
      <c r="J61" s="25"/>
      <c r="K61" s="72"/>
      <c r="L61" s="72"/>
      <c r="M61" s="46"/>
      <c r="N61" s="93"/>
      <c r="O61" s="259"/>
      <c r="P61" s="259"/>
      <c r="Q61" s="66"/>
      <c r="R61" s="146" t="str">
        <f>IF(Q61='3. Parameters kostprijsmodel'!$C$9,'3. Parameters kostprijsmodel'!$D$9,IF(Q61='3. Parameters kostprijsmodel'!$C$10,'3. Parameters kostprijsmodel'!$D$10,IF(Q61='3. Parameters kostprijsmodel'!$C$11,'3. Parameters kostprijsmodel'!$D$11,"")))</f>
        <v/>
      </c>
      <c r="S61" s="66"/>
      <c r="T61" s="146" t="str">
        <f t="shared" si="2"/>
        <v/>
      </c>
      <c r="U61" s="146" t="str">
        <f t="shared" si="4"/>
        <v/>
      </c>
    </row>
    <row r="62" spans="1:21" ht="14.1" customHeight="1" x14ac:dyDescent="0.15">
      <c r="A62" s="200"/>
      <c r="B62" s="200"/>
      <c r="C62" s="200"/>
      <c r="D62" s="861"/>
      <c r="E62" s="861"/>
      <c r="F62" s="861"/>
      <c r="G62" s="862"/>
      <c r="H62" s="206"/>
      <c r="I62" s="204"/>
      <c r="J62" s="28"/>
      <c r="K62" s="72"/>
      <c r="L62" s="72"/>
      <c r="M62" s="46"/>
      <c r="N62" s="93"/>
      <c r="O62" s="259"/>
      <c r="P62" s="259"/>
      <c r="Q62" s="66"/>
      <c r="R62" s="146" t="str">
        <f>IF(Q62='3. Parameters kostprijsmodel'!$C$9,'3. Parameters kostprijsmodel'!$D$9,IF(Q62='3. Parameters kostprijsmodel'!$C$10,'3. Parameters kostprijsmodel'!$D$10,IF(Q62='3. Parameters kostprijsmodel'!$C$11,'3. Parameters kostprijsmodel'!$D$11,"")))</f>
        <v/>
      </c>
      <c r="S62" s="66"/>
      <c r="T62" s="146" t="str">
        <f t="shared" si="2"/>
        <v/>
      </c>
      <c r="U62" s="146" t="str">
        <f t="shared" si="4"/>
        <v/>
      </c>
    </row>
    <row r="63" spans="1:21" ht="14.1" customHeight="1" x14ac:dyDescent="0.15">
      <c r="A63" s="207"/>
      <c r="B63" s="207"/>
      <c r="C63" s="207"/>
      <c r="D63" s="878"/>
      <c r="E63" s="878"/>
      <c r="F63" s="878"/>
      <c r="G63" s="879"/>
      <c r="H63" s="222"/>
      <c r="I63" s="214"/>
      <c r="J63" s="30"/>
      <c r="K63" s="76"/>
      <c r="L63" s="76"/>
      <c r="M63" s="55"/>
      <c r="N63" s="94"/>
      <c r="O63" s="253"/>
      <c r="P63" s="55"/>
      <c r="Q63" s="183"/>
      <c r="R63" s="145" t="str">
        <f>IF(Q63='3. Parameters kostprijsmodel'!$C$9,'3. Parameters kostprijsmodel'!$D$9,IF(Q63='3. Parameters kostprijsmodel'!$C$10,'3. Parameters kostprijsmodel'!$D$10,IF(Q63='3. Parameters kostprijsmodel'!$C$11,'3. Parameters kostprijsmodel'!$D$11,"")))</f>
        <v/>
      </c>
      <c r="S63" s="76"/>
      <c r="T63" s="145" t="str">
        <f t="shared" si="2"/>
        <v/>
      </c>
      <c r="U63" s="145" t="str">
        <f t="shared" si="4"/>
        <v/>
      </c>
    </row>
    <row r="64" spans="1:21" ht="14.1" customHeight="1" x14ac:dyDescent="0.15">
      <c r="A64" s="223"/>
      <c r="B64" s="223"/>
      <c r="C64" s="223"/>
      <c r="D64" s="223"/>
      <c r="E64" s="224"/>
      <c r="F64" s="224"/>
      <c r="G64" s="224"/>
      <c r="H64" s="224"/>
      <c r="I64" s="224"/>
      <c r="J64" s="11"/>
      <c r="K64" s="18"/>
      <c r="L64" s="18"/>
      <c r="M64" s="18"/>
      <c r="N64" s="18"/>
      <c r="O64" s="117"/>
      <c r="P64" s="18"/>
      <c r="Q64" s="18"/>
      <c r="R64" s="18"/>
      <c r="S64" s="18"/>
      <c r="T64" s="18"/>
      <c r="U64" s="42"/>
    </row>
    <row r="65" spans="1:23" ht="14.1" customHeight="1" x14ac:dyDescent="0.15">
      <c r="A65" s="225"/>
      <c r="B65" s="225"/>
      <c r="C65" s="225"/>
      <c r="D65" s="225"/>
      <c r="E65" s="225"/>
      <c r="F65" s="225"/>
      <c r="G65" s="225"/>
      <c r="H65" s="225"/>
      <c r="I65" s="225"/>
      <c r="J65" s="13"/>
      <c r="K65" s="16"/>
      <c r="L65" s="16"/>
      <c r="M65" s="16"/>
      <c r="N65" s="16"/>
      <c r="O65" s="118"/>
      <c r="P65" s="16"/>
      <c r="Q65" s="16"/>
      <c r="R65" s="16"/>
      <c r="S65" s="16"/>
      <c r="T65" s="16"/>
      <c r="U65" s="17"/>
    </row>
    <row r="66" spans="1:23" s="8" customFormat="1" ht="14.1" customHeight="1" x14ac:dyDescent="0.15">
      <c r="A66" s="3"/>
      <c r="B66" s="3"/>
      <c r="C66" s="3"/>
      <c r="D66" s="3"/>
      <c r="E66" s="3"/>
      <c r="F66" s="3"/>
      <c r="G66" s="3"/>
      <c r="H66" s="3"/>
      <c r="I66" s="3"/>
      <c r="J66" s="3"/>
      <c r="O66" s="119"/>
      <c r="V66" s="3"/>
      <c r="W66" s="3"/>
    </row>
    <row r="67" spans="1:23" s="8" customFormat="1" ht="14.1" customHeight="1" x14ac:dyDescent="0.15">
      <c r="A67" s="3"/>
      <c r="B67" s="3"/>
      <c r="C67" s="3"/>
      <c r="D67" s="3"/>
      <c r="E67" s="3"/>
      <c r="F67" s="3"/>
      <c r="G67" s="3"/>
      <c r="H67" s="3"/>
      <c r="I67" s="3"/>
      <c r="J67" s="3"/>
      <c r="O67" s="119"/>
      <c r="V67" s="3"/>
      <c r="W67" s="3"/>
    </row>
    <row r="68" spans="1:23" s="8" customFormat="1" ht="14.1" customHeight="1" x14ac:dyDescent="0.15">
      <c r="A68" s="3"/>
      <c r="B68" s="3"/>
      <c r="C68" s="3"/>
      <c r="D68" s="3"/>
      <c r="E68" s="3"/>
      <c r="F68" s="3"/>
      <c r="G68" s="3"/>
      <c r="H68" s="3"/>
      <c r="I68" s="3"/>
      <c r="J68" s="3"/>
      <c r="O68" s="119"/>
      <c r="V68" s="3"/>
      <c r="W68" s="3"/>
    </row>
    <row r="69" spans="1:23" s="8" customFormat="1" ht="14.1" customHeight="1" x14ac:dyDescent="0.15">
      <c r="A69" s="3"/>
      <c r="B69" s="3"/>
      <c r="C69" s="3"/>
      <c r="D69" s="3"/>
      <c r="E69" s="3"/>
      <c r="F69" s="3"/>
      <c r="G69" s="3"/>
      <c r="H69" s="3"/>
      <c r="I69" s="3"/>
      <c r="J69" s="3"/>
      <c r="O69" s="119"/>
      <c r="V69" s="3"/>
      <c r="W69" s="3"/>
    </row>
    <row r="70" spans="1:23" s="8" customFormat="1" ht="14.1" customHeight="1" x14ac:dyDescent="0.15">
      <c r="A70" s="3"/>
      <c r="B70" s="3"/>
      <c r="C70" s="3"/>
      <c r="D70" s="3"/>
      <c r="E70" s="3"/>
      <c r="F70" s="3"/>
      <c r="G70" s="3"/>
      <c r="H70" s="3"/>
      <c r="I70" s="3"/>
      <c r="J70" s="3"/>
      <c r="O70" s="119"/>
      <c r="V70" s="3"/>
      <c r="W70" s="3"/>
    </row>
    <row r="71" spans="1:23" s="8" customFormat="1" ht="14.1" customHeight="1" x14ac:dyDescent="0.15">
      <c r="A71" s="3"/>
      <c r="B71" s="3"/>
      <c r="C71" s="3"/>
      <c r="D71" s="3"/>
      <c r="E71" s="3"/>
      <c r="F71" s="3"/>
      <c r="G71" s="3"/>
      <c r="H71" s="3"/>
      <c r="I71" s="3"/>
      <c r="J71" s="3"/>
      <c r="O71" s="119"/>
      <c r="V71" s="3"/>
      <c r="W71" s="3"/>
    </row>
    <row r="72" spans="1:23" s="8" customFormat="1" ht="14.1" customHeight="1" x14ac:dyDescent="0.15">
      <c r="A72" s="3"/>
      <c r="B72" s="3"/>
      <c r="C72" s="3"/>
      <c r="D72" s="3"/>
      <c r="E72" s="3"/>
      <c r="F72" s="3"/>
      <c r="G72" s="3"/>
      <c r="H72" s="3"/>
      <c r="I72" s="3"/>
      <c r="J72" s="3"/>
      <c r="O72" s="119"/>
      <c r="V72" s="3"/>
      <c r="W72" s="3"/>
    </row>
    <row r="73" spans="1:23" s="8" customFormat="1" ht="14.1" customHeight="1" x14ac:dyDescent="0.15">
      <c r="A73" s="3"/>
      <c r="B73" s="3"/>
      <c r="C73" s="3"/>
      <c r="D73" s="3"/>
      <c r="E73" s="3"/>
      <c r="F73" s="3"/>
      <c r="G73" s="3"/>
      <c r="H73" s="3"/>
      <c r="I73" s="3"/>
      <c r="J73" s="3"/>
      <c r="O73" s="119"/>
      <c r="V73" s="3"/>
      <c r="W73" s="3"/>
    </row>
    <row r="74" spans="1:23" s="8" customFormat="1" ht="14.1" customHeight="1" x14ac:dyDescent="0.15">
      <c r="A74" s="3"/>
      <c r="B74" s="3"/>
      <c r="C74" s="3"/>
      <c r="D74" s="3"/>
      <c r="E74" s="3"/>
      <c r="F74" s="3"/>
      <c r="G74" s="3"/>
      <c r="H74" s="3"/>
      <c r="I74" s="3"/>
      <c r="J74" s="3"/>
      <c r="O74" s="119"/>
      <c r="V74" s="3"/>
      <c r="W74" s="3"/>
    </row>
    <row r="75" spans="1:23" s="8" customFormat="1" ht="14.1" customHeight="1" x14ac:dyDescent="0.15">
      <c r="A75" s="3"/>
      <c r="B75" s="3"/>
      <c r="C75" s="3"/>
      <c r="D75" s="3"/>
      <c r="E75" s="3"/>
      <c r="F75" s="3"/>
      <c r="G75" s="3"/>
      <c r="H75" s="3"/>
      <c r="I75" s="3"/>
      <c r="J75" s="3"/>
      <c r="O75" s="119"/>
      <c r="V75" s="3"/>
      <c r="W75" s="3"/>
    </row>
    <row r="76" spans="1:23" s="8" customFormat="1" ht="14.1" customHeight="1" x14ac:dyDescent="0.15">
      <c r="A76" s="3"/>
      <c r="B76" s="3"/>
      <c r="C76" s="3"/>
      <c r="D76" s="3"/>
      <c r="E76" s="3"/>
      <c r="F76" s="3"/>
      <c r="G76" s="3"/>
      <c r="H76" s="3"/>
      <c r="I76" s="3"/>
      <c r="J76" s="3"/>
      <c r="O76" s="119"/>
      <c r="V76" s="3"/>
      <c r="W76" s="3"/>
    </row>
    <row r="77" spans="1:23" s="8" customFormat="1" ht="14.1" customHeight="1" x14ac:dyDescent="0.15">
      <c r="A77" s="3"/>
      <c r="B77" s="3"/>
      <c r="C77" s="3"/>
      <c r="D77" s="3"/>
      <c r="E77" s="3"/>
      <c r="F77" s="3"/>
      <c r="G77" s="3"/>
      <c r="H77" s="3"/>
      <c r="I77" s="3"/>
      <c r="J77" s="3"/>
      <c r="O77" s="119"/>
      <c r="V77" s="3"/>
      <c r="W77" s="3"/>
    </row>
    <row r="78" spans="1:23" s="8" customFormat="1" ht="14.1" customHeight="1" x14ac:dyDescent="0.15">
      <c r="A78" s="3"/>
      <c r="B78" s="3"/>
      <c r="C78" s="3"/>
      <c r="D78" s="3"/>
      <c r="E78" s="3"/>
      <c r="F78" s="3"/>
      <c r="G78" s="3"/>
      <c r="H78" s="3"/>
      <c r="I78" s="3"/>
      <c r="J78" s="3"/>
      <c r="O78" s="119"/>
      <c r="V78" s="3"/>
      <c r="W78" s="3"/>
    </row>
    <row r="79" spans="1:23" s="8" customFormat="1" ht="14.1" customHeight="1" x14ac:dyDescent="0.15">
      <c r="A79" s="3"/>
      <c r="B79" s="3"/>
      <c r="C79" s="3"/>
      <c r="D79" s="3"/>
      <c r="E79" s="3"/>
      <c r="F79" s="3"/>
      <c r="G79" s="3"/>
      <c r="H79" s="3"/>
      <c r="I79" s="3"/>
      <c r="J79" s="3"/>
      <c r="O79" s="119"/>
      <c r="V79" s="3"/>
      <c r="W79" s="3"/>
    </row>
    <row r="80" spans="1:23" s="8" customFormat="1" ht="14.1" customHeight="1" x14ac:dyDescent="0.15">
      <c r="A80" s="3"/>
      <c r="B80" s="3"/>
      <c r="C80" s="3"/>
      <c r="D80" s="3"/>
      <c r="E80" s="3"/>
      <c r="F80" s="3"/>
      <c r="G80" s="3"/>
      <c r="H80" s="3"/>
      <c r="I80" s="3"/>
      <c r="J80" s="3"/>
      <c r="O80" s="119"/>
      <c r="V80" s="3"/>
      <c r="W80" s="3"/>
    </row>
    <row r="81" spans="1:26" s="8" customFormat="1" ht="14.1" customHeight="1" x14ac:dyDescent="0.15">
      <c r="A81" s="3"/>
      <c r="B81" s="3"/>
      <c r="C81" s="3"/>
      <c r="D81" s="3"/>
      <c r="E81" s="3"/>
      <c r="F81" s="3"/>
      <c r="G81" s="3"/>
      <c r="H81" s="3"/>
      <c r="I81" s="3"/>
      <c r="J81" s="3"/>
      <c r="O81" s="119"/>
      <c r="V81" s="3"/>
      <c r="W81" s="3"/>
      <c r="X81" s="3"/>
      <c r="Y81" s="3"/>
      <c r="Z81" s="3"/>
    </row>
    <row r="82" spans="1:26" s="8" customFormat="1" ht="14.1" customHeight="1" x14ac:dyDescent="0.15">
      <c r="A82" s="3"/>
      <c r="B82" s="3"/>
      <c r="C82" s="3"/>
      <c r="D82" s="3"/>
      <c r="E82" s="3"/>
      <c r="F82" s="3"/>
      <c r="G82" s="3"/>
      <c r="H82" s="3"/>
      <c r="I82" s="3"/>
      <c r="J82" s="3"/>
      <c r="O82" s="119"/>
      <c r="V82" s="3"/>
      <c r="W82" s="3"/>
      <c r="X82" s="3"/>
      <c r="Y82" s="3"/>
      <c r="Z82" s="3"/>
    </row>
    <row r="83" spans="1:26" s="8" customFormat="1" ht="14.1" customHeight="1" x14ac:dyDescent="0.15">
      <c r="A83" s="3"/>
      <c r="B83" s="3"/>
      <c r="C83" s="3"/>
      <c r="D83" s="3"/>
      <c r="E83" s="3"/>
      <c r="F83" s="3"/>
      <c r="G83" s="3"/>
      <c r="H83" s="3"/>
      <c r="I83" s="3"/>
      <c r="J83" s="3"/>
      <c r="O83" s="119"/>
      <c r="V83" s="3"/>
      <c r="W83" s="3"/>
      <c r="X83" s="3"/>
      <c r="Y83" s="3"/>
      <c r="Z83" s="3"/>
    </row>
    <row r="84" spans="1:26" s="8" customFormat="1" ht="14.1" customHeight="1" x14ac:dyDescent="0.15">
      <c r="A84" s="3"/>
      <c r="B84" s="3"/>
      <c r="C84" s="3"/>
      <c r="D84" s="3"/>
      <c r="E84" s="3"/>
      <c r="F84" s="3"/>
      <c r="G84" s="3"/>
      <c r="H84" s="3"/>
      <c r="I84" s="3"/>
      <c r="J84" s="3"/>
      <c r="O84" s="119"/>
      <c r="V84" s="3"/>
      <c r="W84" s="3"/>
      <c r="X84" s="3"/>
      <c r="Y84" s="3"/>
      <c r="Z84" s="3"/>
    </row>
    <row r="85" spans="1:26" s="8" customFormat="1" ht="14.1" customHeight="1" x14ac:dyDescent="0.15">
      <c r="A85" s="3"/>
      <c r="B85" s="3"/>
      <c r="C85" s="3"/>
      <c r="D85" s="3"/>
      <c r="E85" s="3"/>
      <c r="F85" s="3"/>
      <c r="G85" s="3"/>
      <c r="H85" s="3"/>
      <c r="I85" s="3"/>
      <c r="J85" s="3"/>
      <c r="O85" s="119"/>
      <c r="V85" s="3"/>
      <c r="W85" s="3"/>
      <c r="X85" s="3"/>
      <c r="Y85" s="3"/>
      <c r="Z85" s="3"/>
    </row>
    <row r="86" spans="1:26" s="8" customFormat="1" x14ac:dyDescent="0.15">
      <c r="A86" s="3"/>
      <c r="B86" s="3"/>
      <c r="C86" s="3"/>
      <c r="D86" s="3"/>
      <c r="E86" s="3"/>
      <c r="F86" s="3"/>
      <c r="G86" s="3"/>
      <c r="H86" s="3"/>
      <c r="I86" s="3"/>
      <c r="J86" s="3"/>
      <c r="O86" s="119"/>
      <c r="V86" s="3"/>
      <c r="W86" s="3"/>
      <c r="X86" s="3"/>
      <c r="Y86" s="3"/>
      <c r="Z86" s="3"/>
    </row>
    <row r="87" spans="1:26" s="8" customFormat="1" x14ac:dyDescent="0.15">
      <c r="A87" s="3"/>
      <c r="B87" s="3"/>
      <c r="C87" s="3"/>
      <c r="D87" s="3"/>
      <c r="E87" s="3"/>
      <c r="F87" s="3"/>
      <c r="G87" s="3"/>
      <c r="H87" s="3"/>
      <c r="I87" s="3"/>
      <c r="J87" s="3"/>
      <c r="O87" s="119"/>
      <c r="V87" s="3"/>
      <c r="W87" s="3"/>
      <c r="X87" s="3"/>
      <c r="Y87" s="3"/>
      <c r="Z87" s="3"/>
    </row>
    <row r="88" spans="1:26" s="8" customFormat="1" x14ac:dyDescent="0.15">
      <c r="A88" s="3"/>
      <c r="B88" s="3"/>
      <c r="C88" s="3"/>
      <c r="D88" s="3"/>
      <c r="E88" s="3"/>
      <c r="F88" s="3"/>
      <c r="G88" s="3"/>
      <c r="H88" s="3"/>
      <c r="I88" s="3"/>
      <c r="J88" s="3"/>
      <c r="O88" s="119"/>
      <c r="V88" s="3"/>
      <c r="W88" s="3"/>
      <c r="X88" s="3"/>
      <c r="Y88" s="3"/>
      <c r="Z88" s="3"/>
    </row>
    <row r="89" spans="1:26" s="8" customFormat="1" x14ac:dyDescent="0.15">
      <c r="A89" s="3"/>
      <c r="B89" s="3"/>
      <c r="C89" s="3"/>
      <c r="D89" s="3"/>
      <c r="E89" s="3"/>
      <c r="F89" s="3"/>
      <c r="G89" s="3"/>
      <c r="H89" s="3"/>
      <c r="I89" s="3"/>
      <c r="J89" s="3"/>
      <c r="O89" s="119"/>
      <c r="V89" s="3"/>
      <c r="W89" s="3"/>
      <c r="X89" s="3"/>
      <c r="Y89" s="3"/>
      <c r="Z89" s="3"/>
    </row>
    <row r="90" spans="1:26" s="8" customFormat="1" x14ac:dyDescent="0.15">
      <c r="A90" s="3"/>
      <c r="B90" s="3"/>
      <c r="C90" s="3"/>
      <c r="D90" s="3"/>
      <c r="E90" s="3"/>
      <c r="F90" s="3"/>
      <c r="G90" s="3"/>
      <c r="H90" s="3"/>
      <c r="I90" s="3"/>
      <c r="J90" s="3"/>
      <c r="O90" s="119"/>
      <c r="V90" s="3"/>
      <c r="W90" s="3"/>
      <c r="X90" s="3"/>
      <c r="Y90" s="3"/>
      <c r="Z90" s="3"/>
    </row>
    <row r="91" spans="1:26" s="8" customFormat="1" x14ac:dyDescent="0.15">
      <c r="A91" s="3"/>
      <c r="B91" s="3"/>
      <c r="C91" s="3"/>
      <c r="D91" s="3"/>
      <c r="E91" s="3"/>
      <c r="F91" s="3"/>
      <c r="G91" s="3"/>
      <c r="H91" s="3"/>
      <c r="I91" s="3"/>
      <c r="J91" s="3"/>
      <c r="O91" s="119"/>
      <c r="V91" s="3"/>
      <c r="W91" s="3"/>
      <c r="X91" s="3"/>
      <c r="Y91" s="3"/>
      <c r="Z91" s="3"/>
    </row>
    <row r="92" spans="1:26" s="8" customFormat="1" x14ac:dyDescent="0.15">
      <c r="A92" s="3"/>
      <c r="B92" s="3"/>
      <c r="C92" s="3"/>
      <c r="D92" s="3"/>
      <c r="E92" s="3"/>
      <c r="F92" s="3"/>
      <c r="G92" s="3"/>
      <c r="H92" s="3"/>
      <c r="I92" s="3"/>
      <c r="J92" s="3"/>
      <c r="O92" s="119"/>
      <c r="V92" s="3"/>
      <c r="W92" s="3"/>
      <c r="X92" s="3"/>
      <c r="Y92" s="3"/>
      <c r="Z92" s="3"/>
    </row>
    <row r="93" spans="1:26" s="8" customFormat="1" x14ac:dyDescent="0.15">
      <c r="A93" s="3"/>
      <c r="B93" s="3"/>
      <c r="C93" s="3"/>
      <c r="D93" s="3"/>
      <c r="E93" s="3"/>
      <c r="F93" s="3"/>
      <c r="G93" s="3"/>
      <c r="H93" s="3"/>
      <c r="I93" s="3"/>
      <c r="J93" s="3"/>
      <c r="O93" s="119"/>
      <c r="V93" s="3"/>
      <c r="W93" s="3"/>
      <c r="X93" s="3"/>
      <c r="Y93" s="3"/>
      <c r="Z93" s="3"/>
    </row>
    <row r="94" spans="1:26" s="8" customFormat="1" x14ac:dyDescent="0.15">
      <c r="A94" s="3"/>
      <c r="B94" s="3"/>
      <c r="C94" s="3"/>
      <c r="D94" s="3"/>
      <c r="E94" s="3"/>
      <c r="F94" s="3"/>
      <c r="G94" s="3"/>
      <c r="H94" s="3"/>
      <c r="I94" s="3"/>
      <c r="J94" s="3"/>
      <c r="O94" s="119"/>
      <c r="V94" s="3"/>
      <c r="W94" s="3"/>
      <c r="X94" s="3"/>
      <c r="Y94" s="3"/>
      <c r="Z94" s="3"/>
    </row>
    <row r="95" spans="1:26" s="8" customFormat="1" x14ac:dyDescent="0.15">
      <c r="A95" s="3"/>
      <c r="B95" s="3"/>
      <c r="C95" s="3"/>
      <c r="D95" s="3"/>
      <c r="E95" s="3"/>
      <c r="F95" s="3"/>
      <c r="G95" s="3"/>
      <c r="H95" s="3"/>
      <c r="I95" s="3"/>
      <c r="J95" s="3"/>
      <c r="O95" s="119"/>
      <c r="V95" s="3"/>
      <c r="W95" s="3"/>
      <c r="X95" s="3"/>
      <c r="Y95" s="3"/>
      <c r="Z95" s="3"/>
    </row>
  </sheetData>
  <mergeCells count="48">
    <mergeCell ref="P6:Q6"/>
    <mergeCell ref="P7:Q7"/>
    <mergeCell ref="P8:Q8"/>
    <mergeCell ref="P11:T15"/>
    <mergeCell ref="A4:B4"/>
    <mergeCell ref="N58:O58"/>
    <mergeCell ref="N59:O59"/>
    <mergeCell ref="D23:G33"/>
    <mergeCell ref="N46:O46"/>
    <mergeCell ref="N47:O47"/>
    <mergeCell ref="N52:O52"/>
    <mergeCell ref="N53:O53"/>
    <mergeCell ref="N54:O54"/>
    <mergeCell ref="N34:O34"/>
    <mergeCell ref="N35:O35"/>
    <mergeCell ref="N36:O36"/>
    <mergeCell ref="N40:O40"/>
    <mergeCell ref="N41:O41"/>
    <mergeCell ref="H24:I24"/>
    <mergeCell ref="N23:O24"/>
    <mergeCell ref="H58:I58"/>
    <mergeCell ref="Q21:R22"/>
    <mergeCell ref="T21:U21"/>
    <mergeCell ref="S21:S22"/>
    <mergeCell ref="P21:P22"/>
    <mergeCell ref="H21:I22"/>
    <mergeCell ref="K21:L21"/>
    <mergeCell ref="M21:M22"/>
    <mergeCell ref="J21:J22"/>
    <mergeCell ref="N21:O22"/>
    <mergeCell ref="D58:G63"/>
    <mergeCell ref="D52:G57"/>
    <mergeCell ref="D46:G51"/>
    <mergeCell ref="H53:I53"/>
    <mergeCell ref="H46:I46"/>
    <mergeCell ref="H52:I52"/>
    <mergeCell ref="A1:J2"/>
    <mergeCell ref="H4:J7"/>
    <mergeCell ref="H9:J17"/>
    <mergeCell ref="D40:G45"/>
    <mergeCell ref="D34:G39"/>
    <mergeCell ref="H40:I40"/>
    <mergeCell ref="H36:I36"/>
    <mergeCell ref="C4:D4"/>
    <mergeCell ref="E4:F4"/>
    <mergeCell ref="D21:G22"/>
    <mergeCell ref="A21:C22"/>
    <mergeCell ref="H35:I35"/>
  </mergeCells>
  <pageMargins left="0.70866141732283472" right="0.70866141732283472" top="0.74803149606299213" bottom="0.74803149606299213" header="0.31496062992125984" footer="0.31496062992125984"/>
  <pageSetup paperSize="9" scale="33" orientation="landscape" r:id="rId1"/>
  <headerFooter>
    <oddHeader>&amp;L&amp;F&amp;R&amp;A</oddHeader>
    <oddFooter>&amp;L&amp;D&amp;RPagina &amp;P van &amp;N</oddFooter>
  </headerFooter>
  <ignoredErrors>
    <ignoredError sqref="D6:D7 E6:E7"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B413-D967-4DEF-A2D2-66B369865095}">
  <sheetPr>
    <tabColor theme="6"/>
    <pageSetUpPr fitToPage="1"/>
  </sheetPr>
  <dimension ref="A1:Z93"/>
  <sheetViews>
    <sheetView zoomScaleNormal="100" workbookViewId="0"/>
  </sheetViews>
  <sheetFormatPr defaultColWidth="12.09765625" defaultRowHeight="10.5" x14ac:dyDescent="0.15"/>
  <cols>
    <col min="1" max="2" width="12.09765625" style="1"/>
    <col min="3" max="4" width="12.09765625" style="1" customWidth="1"/>
    <col min="5" max="10" width="12.09765625" style="1"/>
    <col min="11" max="13" width="12.09765625" style="79" customWidth="1"/>
    <col min="14" max="15" width="19.59765625" style="47" customWidth="1"/>
    <col min="16" max="19" width="12.09765625" style="79" customWidth="1"/>
    <col min="20" max="21" width="12.09765625" style="79"/>
    <col min="22" max="16384" width="12.09765625" style="3"/>
  </cols>
  <sheetData>
    <row r="1" spans="1:21" s="488" customFormat="1" ht="14.1" customHeight="1" x14ac:dyDescent="0.25">
      <c r="A1" s="605" t="str" cm="1">
        <f t="array" aca="1" ref="A1" ca="1">MID(CELL("bestandsnaam",$A$1),FIND("]",CELL("bestandsnaam",$A$1))+1,31)</f>
        <v>8. Dagvlinders en sprinkhanen</v>
      </c>
      <c r="B1" s="605"/>
      <c r="C1" s="605"/>
      <c r="D1" s="605"/>
      <c r="E1" s="605"/>
      <c r="F1" s="605"/>
      <c r="G1" s="605"/>
      <c r="H1" s="605"/>
      <c r="I1" s="605"/>
      <c r="J1" s="605"/>
      <c r="K1" s="489"/>
      <c r="L1" s="489"/>
      <c r="M1" s="489"/>
      <c r="N1" s="490"/>
      <c r="O1" s="490"/>
      <c r="P1" s="489"/>
      <c r="Q1" s="489"/>
      <c r="R1" s="489"/>
      <c r="S1" s="489"/>
      <c r="T1" s="489"/>
      <c r="U1" s="489"/>
    </row>
    <row r="2" spans="1:21" s="488" customFormat="1" ht="14.1" customHeight="1" x14ac:dyDescent="0.25">
      <c r="A2" s="605"/>
      <c r="B2" s="605"/>
      <c r="C2" s="605"/>
      <c r="D2" s="605"/>
      <c r="E2" s="605"/>
      <c r="F2" s="605"/>
      <c r="G2" s="605"/>
      <c r="H2" s="605"/>
      <c r="I2" s="605"/>
      <c r="J2" s="605"/>
      <c r="K2" s="489"/>
      <c r="L2" s="489"/>
      <c r="M2" s="489"/>
      <c r="N2" s="490"/>
      <c r="O2" s="490"/>
      <c r="P2" s="489"/>
      <c r="Q2" s="489"/>
      <c r="R2" s="489"/>
      <c r="S2" s="489"/>
      <c r="T2" s="489"/>
      <c r="U2" s="489"/>
    </row>
    <row r="3" spans="1:21" ht="14.1" customHeight="1" x14ac:dyDescent="0.15">
      <c r="A3" s="525" t="s">
        <v>237</v>
      </c>
      <c r="B3" s="61"/>
      <c r="C3" s="61"/>
      <c r="D3" s="60"/>
      <c r="E3" s="60"/>
      <c r="F3" s="60"/>
      <c r="G3" s="120"/>
      <c r="H3" s="120"/>
      <c r="I3" s="120"/>
      <c r="J3" s="120"/>
      <c r="K3" s="120"/>
      <c r="L3" s="83"/>
      <c r="M3" s="83"/>
      <c r="N3" s="120"/>
      <c r="O3" s="120"/>
      <c r="P3" s="83"/>
      <c r="Q3" s="83"/>
      <c r="R3" s="83"/>
      <c r="S3" s="83"/>
      <c r="T3" s="83"/>
      <c r="U3" s="83"/>
    </row>
    <row r="4" spans="1:21" ht="14.1" customHeight="1" x14ac:dyDescent="0.15">
      <c r="A4" s="845" t="s">
        <v>219</v>
      </c>
      <c r="B4" s="846"/>
      <c r="C4" s="743" t="s">
        <v>28</v>
      </c>
      <c r="D4" s="745"/>
      <c r="E4" s="743" t="s">
        <v>29</v>
      </c>
      <c r="F4" s="745"/>
      <c r="G4" s="120"/>
      <c r="H4" s="755" t="s">
        <v>304</v>
      </c>
      <c r="I4" s="756"/>
      <c r="J4" s="757"/>
      <c r="K4" s="173"/>
      <c r="L4" s="565" t="s">
        <v>345</v>
      </c>
      <c r="M4" s="569"/>
      <c r="N4" s="569"/>
      <c r="O4" s="552"/>
      <c r="P4" s="566" t="s">
        <v>346</v>
      </c>
      <c r="Q4" s="561"/>
      <c r="R4" s="561"/>
      <c r="S4" s="561"/>
      <c r="T4" s="561"/>
      <c r="U4" s="553"/>
    </row>
    <row r="5" spans="1:21" ht="14.1" customHeight="1" x14ac:dyDescent="0.15">
      <c r="A5" s="576"/>
      <c r="B5" s="577"/>
      <c r="C5" s="285" t="s">
        <v>220</v>
      </c>
      <c r="D5" s="286" t="s">
        <v>221</v>
      </c>
      <c r="E5" s="285" t="s">
        <v>220</v>
      </c>
      <c r="F5" s="286" t="s">
        <v>221</v>
      </c>
      <c r="G5" s="120"/>
      <c r="H5" s="758"/>
      <c r="I5" s="759"/>
      <c r="J5" s="760"/>
      <c r="K5" s="173"/>
      <c r="L5" s="554"/>
      <c r="M5" s="549"/>
      <c r="N5" s="549"/>
      <c r="O5" s="549"/>
      <c r="P5" s="547"/>
      <c r="Q5" s="572"/>
      <c r="R5" s="573" t="s">
        <v>242</v>
      </c>
      <c r="S5" s="548" t="s">
        <v>221</v>
      </c>
      <c r="T5" s="551"/>
      <c r="U5" s="555"/>
    </row>
    <row r="6" spans="1:21" ht="14.1" customHeight="1" x14ac:dyDescent="0.15">
      <c r="A6" s="526" t="s">
        <v>243</v>
      </c>
      <c r="B6" s="81" t="s">
        <v>244</v>
      </c>
      <c r="C6" s="167">
        <f>SUM($T$33,$T$56,$T$57)</f>
        <v>4.7704189787234039</v>
      </c>
      <c r="D6" s="167">
        <f>SUM($U$33,$U$56,$U$57)</f>
        <v>4.7704189787234039</v>
      </c>
      <c r="E6" s="167">
        <f>SUM($T$33,$T$56,$T$57)</f>
        <v>4.7704189787234039</v>
      </c>
      <c r="F6" s="168">
        <f>SUM($U$33,$U$56,$U$57)</f>
        <v>4.7704189787234039</v>
      </c>
      <c r="G6" s="120"/>
      <c r="H6" s="758"/>
      <c r="I6" s="759"/>
      <c r="J6" s="760"/>
      <c r="K6" s="173"/>
      <c r="L6" s="554"/>
      <c r="M6" s="549"/>
      <c r="N6" s="549"/>
      <c r="O6" s="549"/>
      <c r="P6" s="764" t="s">
        <v>245</v>
      </c>
      <c r="Q6" s="765"/>
      <c r="R6" s="570">
        <f>C6/C$9</f>
        <v>0.10701750378871891</v>
      </c>
      <c r="S6" s="570">
        <f>D6/D$9</f>
        <v>0.14175279342045333</v>
      </c>
      <c r="T6" s="551"/>
      <c r="U6" s="555"/>
    </row>
    <row r="7" spans="1:21" ht="14.1" customHeight="1" x14ac:dyDescent="0.15">
      <c r="A7" s="81" t="s">
        <v>243</v>
      </c>
      <c r="B7" s="81" t="s">
        <v>166</v>
      </c>
      <c r="C7" s="167">
        <f>SUM($T$32,$T$34,$T$50,$T$51,$T$52)</f>
        <v>18.580602240000005</v>
      </c>
      <c r="D7" s="167">
        <f>SUM($U$32,$U$34,$U$50,$U$51,$U$52)</f>
        <v>18.580602240000005</v>
      </c>
      <c r="E7" s="167">
        <f>SUM($T$32,$T$34,$T$50,$T$51,$T$52)</f>
        <v>18.580602240000005</v>
      </c>
      <c r="F7" s="168">
        <f>SUM($U$32,$U$34,$U$50,$U$51,$U$52)</f>
        <v>18.580602240000005</v>
      </c>
      <c r="G7" s="120"/>
      <c r="H7" s="761"/>
      <c r="I7" s="762"/>
      <c r="J7" s="763"/>
      <c r="K7" s="173"/>
      <c r="L7" s="554"/>
      <c r="M7" s="549"/>
      <c r="N7" s="549"/>
      <c r="O7" s="549"/>
      <c r="P7" s="764" t="s">
        <v>246</v>
      </c>
      <c r="Q7" s="765"/>
      <c r="R7" s="570">
        <f t="shared" ref="R7:S8" si="0">C7/C$9</f>
        <v>0.41682914634638696</v>
      </c>
      <c r="S7" s="570">
        <f t="shared" si="0"/>
        <v>0.55212179112602167</v>
      </c>
      <c r="T7" s="551"/>
      <c r="U7" s="555"/>
    </row>
    <row r="8" spans="1:21" ht="14.1" customHeight="1" x14ac:dyDescent="0.15">
      <c r="A8" s="81" t="s">
        <v>307</v>
      </c>
      <c r="B8" s="81" t="s">
        <v>248</v>
      </c>
      <c r="C8" s="167">
        <f>SUM(T38,T39)</f>
        <v>21.225041666666655</v>
      </c>
      <c r="D8" s="167">
        <f>SUM(U38,U39)</f>
        <v>10.302065000000001</v>
      </c>
      <c r="E8" s="167">
        <f>SUM(T38,T39,T44,T45)</f>
        <v>42.450083333333311</v>
      </c>
      <c r="F8" s="168">
        <f>SUM(U38,U39,U44,U45)</f>
        <v>20.604130000000001</v>
      </c>
      <c r="G8" s="120"/>
      <c r="H8" s="120"/>
      <c r="I8" s="120"/>
      <c r="J8" s="120"/>
      <c r="K8" s="120"/>
      <c r="L8" s="554"/>
      <c r="M8" s="549"/>
      <c r="N8" s="549"/>
      <c r="O8" s="549"/>
      <c r="P8" s="764" t="s">
        <v>308</v>
      </c>
      <c r="Q8" s="765"/>
      <c r="R8" s="570">
        <f t="shared" si="0"/>
        <v>0.47615334986489405</v>
      </c>
      <c r="S8" s="570">
        <f t="shared" si="0"/>
        <v>0.30612541545352501</v>
      </c>
      <c r="T8" s="551"/>
      <c r="U8" s="555"/>
    </row>
    <row r="9" spans="1:21" ht="14.1" customHeight="1" x14ac:dyDescent="0.15">
      <c r="A9" s="527" t="s">
        <v>311</v>
      </c>
      <c r="B9" s="278"/>
      <c r="C9" s="271">
        <f>SUM(C6:C8)</f>
        <v>44.576062885390066</v>
      </c>
      <c r="D9" s="271">
        <f>SUM(D6:D8)</f>
        <v>33.653086218723409</v>
      </c>
      <c r="E9" s="271">
        <f>SUM(E6:E8)</f>
        <v>65.801104552056728</v>
      </c>
      <c r="F9" s="174">
        <f>SUM(F6:F8)</f>
        <v>43.955151218723415</v>
      </c>
      <c r="G9" s="120"/>
      <c r="H9" s="779" t="s">
        <v>347</v>
      </c>
      <c r="I9" s="780"/>
      <c r="J9" s="781"/>
      <c r="K9" s="120"/>
      <c r="L9" s="554"/>
      <c r="M9" s="549"/>
      <c r="N9" s="549"/>
      <c r="O9" s="549"/>
      <c r="P9" s="549"/>
      <c r="Q9" s="550"/>
      <c r="R9" s="550"/>
      <c r="S9" s="550"/>
      <c r="T9" s="551"/>
      <c r="U9" s="555"/>
    </row>
    <row r="10" spans="1:21" ht="14.1" customHeight="1" x14ac:dyDescent="0.15">
      <c r="A10" s="345" t="s">
        <v>257</v>
      </c>
      <c r="B10" s="80"/>
      <c r="C10" s="97"/>
      <c r="D10" s="97"/>
      <c r="E10" s="97"/>
      <c r="F10" s="97"/>
      <c r="G10" s="120"/>
      <c r="H10" s="782"/>
      <c r="I10" s="783"/>
      <c r="J10" s="784"/>
      <c r="K10" s="120"/>
      <c r="L10" s="554"/>
      <c r="M10" s="549"/>
      <c r="N10" s="549"/>
      <c r="O10" s="549"/>
      <c r="P10" s="564" t="s">
        <v>253</v>
      </c>
      <c r="Q10" s="550"/>
      <c r="R10" s="550"/>
      <c r="S10" s="550"/>
      <c r="T10" s="551"/>
      <c r="U10" s="555"/>
    </row>
    <row r="11" spans="1:21" ht="14.1" customHeight="1" x14ac:dyDescent="0.15">
      <c r="A11" s="81"/>
      <c r="B11" s="80"/>
      <c r="C11" s="97"/>
      <c r="D11" s="97"/>
      <c r="E11" s="97"/>
      <c r="F11" s="97"/>
      <c r="G11" s="120"/>
      <c r="H11" s="782"/>
      <c r="I11" s="783"/>
      <c r="J11" s="784"/>
      <c r="K11" s="120"/>
      <c r="L11" s="554"/>
      <c r="M11" s="549"/>
      <c r="N11" s="549"/>
      <c r="O11" s="549"/>
      <c r="P11" s="788" t="s">
        <v>255</v>
      </c>
      <c r="Q11" s="788"/>
      <c r="R11" s="788"/>
      <c r="S11" s="788"/>
      <c r="T11" s="788"/>
      <c r="U11" s="555"/>
    </row>
    <row r="12" spans="1:21" ht="15" customHeight="1" x14ac:dyDescent="0.15">
      <c r="A12" s="61"/>
      <c r="B12" s="61"/>
      <c r="C12" s="61"/>
      <c r="D12" s="60"/>
      <c r="E12" s="60"/>
      <c r="F12" s="60"/>
      <c r="G12" s="120"/>
      <c r="H12" s="782"/>
      <c r="I12" s="783"/>
      <c r="J12" s="784"/>
      <c r="K12" s="120"/>
      <c r="L12" s="554"/>
      <c r="M12" s="549"/>
      <c r="N12" s="549"/>
      <c r="O12" s="549"/>
      <c r="P12" s="788"/>
      <c r="Q12" s="788"/>
      <c r="R12" s="788"/>
      <c r="S12" s="788"/>
      <c r="T12" s="788"/>
      <c r="U12" s="555"/>
    </row>
    <row r="13" spans="1:21" ht="15" customHeight="1" x14ac:dyDescent="0.15">
      <c r="A13" s="61"/>
      <c r="B13" s="61"/>
      <c r="C13" s="61"/>
      <c r="D13" s="60"/>
      <c r="E13" s="60"/>
      <c r="F13" s="60"/>
      <c r="G13" s="120"/>
      <c r="H13" s="782"/>
      <c r="I13" s="783"/>
      <c r="J13" s="784"/>
      <c r="K13" s="120"/>
      <c r="L13" s="554"/>
      <c r="M13" s="549"/>
      <c r="N13" s="549"/>
      <c r="O13" s="549"/>
      <c r="P13" s="788"/>
      <c r="Q13" s="788"/>
      <c r="R13" s="788"/>
      <c r="S13" s="788"/>
      <c r="T13" s="788"/>
      <c r="U13" s="555"/>
    </row>
    <row r="14" spans="1:21" ht="15" customHeight="1" x14ac:dyDescent="0.15">
      <c r="A14" s="61"/>
      <c r="B14" s="61"/>
      <c r="C14" s="61"/>
      <c r="D14" s="60"/>
      <c r="E14" s="60"/>
      <c r="F14" s="60"/>
      <c r="G14" s="120"/>
      <c r="H14" s="782"/>
      <c r="I14" s="783"/>
      <c r="J14" s="784"/>
      <c r="K14" s="120"/>
      <c r="L14" s="554"/>
      <c r="M14" s="549"/>
      <c r="N14" s="549"/>
      <c r="O14" s="549"/>
      <c r="P14" s="788"/>
      <c r="Q14" s="788"/>
      <c r="R14" s="788"/>
      <c r="S14" s="788"/>
      <c r="T14" s="788"/>
      <c r="U14" s="555"/>
    </row>
    <row r="15" spans="1:21" ht="15" customHeight="1" x14ac:dyDescent="0.15">
      <c r="A15" s="61"/>
      <c r="B15" s="61"/>
      <c r="C15" s="61"/>
      <c r="D15" s="60"/>
      <c r="E15" s="60"/>
      <c r="F15" s="60"/>
      <c r="G15" s="120"/>
      <c r="H15" s="782"/>
      <c r="I15" s="783"/>
      <c r="J15" s="784"/>
      <c r="K15" s="120"/>
      <c r="L15" s="554"/>
      <c r="M15" s="549"/>
      <c r="N15" s="549"/>
      <c r="O15" s="549"/>
      <c r="P15" s="788"/>
      <c r="Q15" s="788"/>
      <c r="R15" s="788"/>
      <c r="S15" s="788"/>
      <c r="T15" s="788"/>
      <c r="U15" s="555"/>
    </row>
    <row r="16" spans="1:21" ht="15" customHeight="1" x14ac:dyDescent="0.15">
      <c r="A16" s="61"/>
      <c r="B16" s="61"/>
      <c r="C16" s="61"/>
      <c r="D16" s="60"/>
      <c r="E16" s="60"/>
      <c r="F16" s="60"/>
      <c r="G16" s="120"/>
      <c r="H16" s="782"/>
      <c r="I16" s="783"/>
      <c r="J16" s="784"/>
      <c r="K16" s="120"/>
      <c r="L16" s="554"/>
      <c r="M16" s="549"/>
      <c r="N16" s="549"/>
      <c r="O16" s="549"/>
      <c r="P16" s="549"/>
      <c r="Q16" s="550"/>
      <c r="R16" s="550"/>
      <c r="S16" s="550"/>
      <c r="T16" s="551"/>
      <c r="U16" s="555"/>
    </row>
    <row r="17" spans="1:25" ht="14.1" customHeight="1" x14ac:dyDescent="0.15">
      <c r="A17" s="61"/>
      <c r="B17" s="61"/>
      <c r="C17" s="61"/>
      <c r="D17" s="60"/>
      <c r="E17" s="60"/>
      <c r="F17" s="60"/>
      <c r="G17" s="120"/>
      <c r="H17" s="785"/>
      <c r="I17" s="786"/>
      <c r="J17" s="787"/>
      <c r="K17" s="120"/>
      <c r="L17" s="556"/>
      <c r="M17" s="557"/>
      <c r="N17" s="557"/>
      <c r="O17" s="557"/>
      <c r="P17" s="557"/>
      <c r="Q17" s="558"/>
      <c r="R17" s="558"/>
      <c r="S17" s="558"/>
      <c r="T17" s="559"/>
      <c r="U17" s="560"/>
    </row>
    <row r="18" spans="1:25" ht="14.1" customHeight="1" x14ac:dyDescent="0.15">
      <c r="A18" s="143" t="s">
        <v>258</v>
      </c>
      <c r="B18" s="61"/>
      <c r="C18" s="61"/>
      <c r="D18" s="60"/>
      <c r="E18" s="60"/>
      <c r="F18" s="60"/>
      <c r="G18" s="60"/>
      <c r="H18" s="126"/>
      <c r="I18" s="126"/>
      <c r="J18" s="126"/>
      <c r="K18" s="126"/>
      <c r="L18" s="83"/>
      <c r="M18" s="83"/>
      <c r="N18" s="120"/>
      <c r="O18" s="120"/>
      <c r="P18" s="83"/>
      <c r="Q18" s="83"/>
      <c r="R18" s="83"/>
      <c r="S18" s="83"/>
      <c r="T18" s="83"/>
      <c r="U18" s="83"/>
    </row>
    <row r="19" spans="1:25" s="4" customFormat="1" ht="14.1" customHeight="1" x14ac:dyDescent="0.2">
      <c r="A19" s="766" t="s">
        <v>259</v>
      </c>
      <c r="B19" s="767"/>
      <c r="C19" s="768"/>
      <c r="D19" s="822" t="s">
        <v>2</v>
      </c>
      <c r="E19" s="823"/>
      <c r="F19" s="177"/>
      <c r="G19" s="177"/>
      <c r="H19" s="892" t="s">
        <v>260</v>
      </c>
      <c r="I19" s="893"/>
      <c r="J19" s="886" t="s">
        <v>348</v>
      </c>
      <c r="K19" s="752" t="s">
        <v>262</v>
      </c>
      <c r="L19" s="754"/>
      <c r="M19" s="777" t="s">
        <v>263</v>
      </c>
      <c r="N19" s="747" t="s">
        <v>264</v>
      </c>
      <c r="O19" s="248"/>
      <c r="P19" s="777" t="s">
        <v>265</v>
      </c>
      <c r="Q19" s="746" t="s">
        <v>310</v>
      </c>
      <c r="R19" s="747"/>
      <c r="S19" s="777" t="s">
        <v>266</v>
      </c>
      <c r="T19" s="766" t="s">
        <v>267</v>
      </c>
      <c r="U19" s="768"/>
      <c r="W19" s="3"/>
      <c r="X19" s="3"/>
      <c r="Y19" s="3"/>
    </row>
    <row r="20" spans="1:25" s="9" customFormat="1" ht="14.1" customHeight="1" x14ac:dyDescent="0.15">
      <c r="A20" s="772"/>
      <c r="B20" s="773"/>
      <c r="C20" s="774"/>
      <c r="D20" s="825"/>
      <c r="E20" s="826"/>
      <c r="F20" s="180"/>
      <c r="G20" s="180"/>
      <c r="H20" s="894"/>
      <c r="I20" s="895"/>
      <c r="J20" s="887"/>
      <c r="K20" s="54" t="s">
        <v>220</v>
      </c>
      <c r="L20" s="54" t="s">
        <v>221</v>
      </c>
      <c r="M20" s="829"/>
      <c r="N20" s="749"/>
      <c r="O20" s="250"/>
      <c r="P20" s="829"/>
      <c r="Q20" s="748"/>
      <c r="R20" s="749"/>
      <c r="S20" s="829"/>
      <c r="T20" s="54" t="s">
        <v>220</v>
      </c>
      <c r="U20" s="54" t="s">
        <v>221</v>
      </c>
      <c r="W20" s="3"/>
      <c r="X20" s="3"/>
      <c r="Y20" s="3"/>
    </row>
    <row r="21" spans="1:25" ht="14.1" customHeight="1" x14ac:dyDescent="0.15">
      <c r="A21" s="2"/>
      <c r="B21" s="3"/>
      <c r="C21" s="3"/>
      <c r="D21" s="863" t="s">
        <v>269</v>
      </c>
      <c r="E21" s="863"/>
      <c r="F21" s="863"/>
      <c r="G21" s="864"/>
      <c r="H21" s="201" t="s">
        <v>270</v>
      </c>
      <c r="I21" s="202"/>
      <c r="J21" s="50" t="s">
        <v>171</v>
      </c>
      <c r="K21" s="129"/>
      <c r="L21" s="182"/>
      <c r="M21" s="102" t="s">
        <v>275</v>
      </c>
      <c r="N21" s="737" t="s">
        <v>271</v>
      </c>
      <c r="O21" s="738"/>
      <c r="P21" s="129">
        <v>1</v>
      </c>
      <c r="Q21" s="129"/>
      <c r="R21" s="144" t="str">
        <f>IF(Q21='3. Parameters kostprijsmodel'!$C$9,'3. Parameters kostprijsmodel'!$D$9,IF(Q21='3. Parameters kostprijsmodel'!$C$10,'3. Parameters kostprijsmodel'!$D$10,IF(Q21='3. Parameters kostprijsmodel'!$C$11,'3. Parameters kostprijsmodel'!$D$11,"")))</f>
        <v/>
      </c>
      <c r="S21" s="144" t="str">
        <f>IF(R21='3. Parameters kostprijsmodel'!$C$9,'3. Parameters kostprijsmodel'!$D$9,IF(R21='3. Parameters kostprijsmodel'!$C$10,'3. Parameters kostprijsmodel'!$D$10,IF(R21='3. Parameters kostprijsmodel'!$C$11,'3. Parameters kostprijsmodel'!$D$11,"")))</f>
        <v/>
      </c>
      <c r="T21" s="144" t="str">
        <f>IF($K21="","",K21*$P21*$R21+$S21)</f>
        <v/>
      </c>
      <c r="U21" s="144" t="str">
        <f t="shared" ref="U21:U61" si="1">IF($L21="","",L21*$P21*$R21+$S21)</f>
        <v/>
      </c>
    </row>
    <row r="22" spans="1:25" ht="14.1" customHeight="1" x14ac:dyDescent="0.15">
      <c r="A22" s="2"/>
      <c r="B22" s="3"/>
      <c r="C22" s="3"/>
      <c r="D22" s="865"/>
      <c r="E22" s="865"/>
      <c r="F22" s="865"/>
      <c r="G22" s="866"/>
      <c r="H22" s="890" t="s">
        <v>272</v>
      </c>
      <c r="I22" s="891"/>
      <c r="J22" s="183" t="s">
        <v>171</v>
      </c>
      <c r="K22" s="176"/>
      <c r="L22" s="181"/>
      <c r="M22" s="77" t="s">
        <v>275</v>
      </c>
      <c r="N22" s="739"/>
      <c r="O22" s="740"/>
      <c r="P22" s="176">
        <v>1</v>
      </c>
      <c r="Q22" s="176"/>
      <c r="R22" s="151" t="str">
        <f>IF(Q22='3. Parameters kostprijsmodel'!$C$9,'3. Parameters kostprijsmodel'!$D$9,IF(Q22='3. Parameters kostprijsmodel'!$C$10,'3. Parameters kostprijsmodel'!$D$10,IF(Q22='3. Parameters kostprijsmodel'!$C$11,'3. Parameters kostprijsmodel'!$D$11,"")))</f>
        <v/>
      </c>
      <c r="S22" s="151" t="str">
        <f>IF(R22='3. Parameters kostprijsmodel'!$C$9,'3. Parameters kostprijsmodel'!$D$9,IF(R22='3. Parameters kostprijsmodel'!$C$10,'3. Parameters kostprijsmodel'!$D$10,IF(R22='3. Parameters kostprijsmodel'!$C$11,'3. Parameters kostprijsmodel'!$D$11,"")))</f>
        <v/>
      </c>
      <c r="T22" s="151" t="str">
        <f t="shared" ref="T22:T61" si="2">IF($K22="","",K22*$P22*$R22+$S22)</f>
        <v/>
      </c>
      <c r="U22" s="151" t="str">
        <f t="shared" si="1"/>
        <v/>
      </c>
    </row>
    <row r="23" spans="1:25" ht="14.1" customHeight="1" x14ac:dyDescent="0.15">
      <c r="A23" s="2"/>
      <c r="B23" s="3"/>
      <c r="C23" s="3"/>
      <c r="D23" s="865"/>
      <c r="E23" s="865"/>
      <c r="F23" s="865"/>
      <c r="G23" s="866"/>
      <c r="H23" s="227"/>
      <c r="I23" s="218"/>
      <c r="J23" s="533"/>
      <c r="K23" s="66"/>
      <c r="L23" s="66"/>
      <c r="M23" s="66"/>
      <c r="N23" s="92"/>
      <c r="O23" s="259"/>
      <c r="P23" s="66"/>
      <c r="Q23" s="66"/>
      <c r="R23" s="146" t="str">
        <f>IF(Q23='3. Parameters kostprijsmodel'!$C$9,'3. Parameters kostprijsmodel'!$D$9,IF(Q23='3. Parameters kostprijsmodel'!$C$10,'3. Parameters kostprijsmodel'!$D$10,IF(Q23='3. Parameters kostprijsmodel'!$C$11,'3. Parameters kostprijsmodel'!$D$11,"")))</f>
        <v/>
      </c>
      <c r="S23" s="66"/>
      <c r="T23" s="146" t="str">
        <f t="shared" si="2"/>
        <v/>
      </c>
      <c r="U23" s="146" t="str">
        <f t="shared" si="1"/>
        <v/>
      </c>
    </row>
    <row r="24" spans="1:25" ht="14.1" customHeight="1" x14ac:dyDescent="0.15">
      <c r="A24" s="2"/>
      <c r="B24" s="3"/>
      <c r="C24" s="3"/>
      <c r="D24" s="865"/>
      <c r="E24" s="865"/>
      <c r="F24" s="865"/>
      <c r="G24" s="866"/>
      <c r="H24" s="227"/>
      <c r="I24" s="218"/>
      <c r="J24" s="533"/>
      <c r="K24" s="66"/>
      <c r="L24" s="66"/>
      <c r="M24" s="66"/>
      <c r="N24" s="92"/>
      <c r="O24" s="259"/>
      <c r="P24" s="66"/>
      <c r="Q24" s="66"/>
      <c r="R24" s="146" t="str">
        <f>IF(Q24='3. Parameters kostprijsmodel'!$C$9,'3. Parameters kostprijsmodel'!$D$9,IF(Q24='3. Parameters kostprijsmodel'!$C$10,'3. Parameters kostprijsmodel'!$D$10,IF(Q24='3. Parameters kostprijsmodel'!$C$11,'3. Parameters kostprijsmodel'!$D$11,"")))</f>
        <v/>
      </c>
      <c r="S24" s="66"/>
      <c r="T24" s="146" t="str">
        <f t="shared" si="2"/>
        <v/>
      </c>
      <c r="U24" s="146" t="str">
        <f t="shared" si="1"/>
        <v/>
      </c>
    </row>
    <row r="25" spans="1:25" ht="14.1" customHeight="1" x14ac:dyDescent="0.15">
      <c r="A25" s="2"/>
      <c r="B25" s="3"/>
      <c r="C25" s="3"/>
      <c r="D25" s="865"/>
      <c r="E25" s="865"/>
      <c r="F25" s="865"/>
      <c r="G25" s="866"/>
      <c r="H25" s="227"/>
      <c r="I25" s="218"/>
      <c r="J25" s="533"/>
      <c r="K25" s="66"/>
      <c r="L25" s="66"/>
      <c r="M25" s="66"/>
      <c r="N25" s="92"/>
      <c r="O25" s="259"/>
      <c r="P25" s="66"/>
      <c r="Q25" s="66"/>
      <c r="R25" s="146" t="str">
        <f>IF(Q25='3. Parameters kostprijsmodel'!$C$9,'3. Parameters kostprijsmodel'!$D$9,IF(Q25='3. Parameters kostprijsmodel'!$C$10,'3. Parameters kostprijsmodel'!$D$10,IF(Q25='3. Parameters kostprijsmodel'!$C$11,'3. Parameters kostprijsmodel'!$D$11,"")))</f>
        <v/>
      </c>
      <c r="S25" s="66"/>
      <c r="T25" s="146" t="str">
        <f t="shared" si="2"/>
        <v/>
      </c>
      <c r="U25" s="146" t="str">
        <f t="shared" si="1"/>
        <v/>
      </c>
    </row>
    <row r="26" spans="1:25" ht="14.1" customHeight="1" x14ac:dyDescent="0.15">
      <c r="A26" s="2"/>
      <c r="B26" s="3"/>
      <c r="C26" s="3"/>
      <c r="D26" s="865"/>
      <c r="E26" s="865"/>
      <c r="F26" s="865"/>
      <c r="G26" s="866"/>
      <c r="H26" s="227"/>
      <c r="I26" s="218"/>
      <c r="J26" s="533"/>
      <c r="K26" s="66"/>
      <c r="L26" s="66"/>
      <c r="M26" s="66"/>
      <c r="N26" s="92"/>
      <c r="O26" s="259"/>
      <c r="P26" s="66"/>
      <c r="Q26" s="66"/>
      <c r="R26" s="146" t="str">
        <f>IF(Q26='3. Parameters kostprijsmodel'!$C$9,'3. Parameters kostprijsmodel'!$D$9,IF(Q26='3. Parameters kostprijsmodel'!$C$10,'3. Parameters kostprijsmodel'!$D$10,IF(Q26='3. Parameters kostprijsmodel'!$C$11,'3. Parameters kostprijsmodel'!$D$11,"")))</f>
        <v/>
      </c>
      <c r="S26" s="66"/>
      <c r="T26" s="146" t="str">
        <f t="shared" si="2"/>
        <v/>
      </c>
      <c r="U26" s="146" t="str">
        <f t="shared" si="1"/>
        <v/>
      </c>
    </row>
    <row r="27" spans="1:25" ht="14.1" customHeight="1" x14ac:dyDescent="0.15">
      <c r="A27" s="2"/>
      <c r="B27" s="3"/>
      <c r="C27" s="3"/>
      <c r="D27" s="865"/>
      <c r="E27" s="865"/>
      <c r="F27" s="865"/>
      <c r="G27" s="866"/>
      <c r="H27" s="227"/>
      <c r="I27" s="218"/>
      <c r="J27" s="533"/>
      <c r="K27" s="66"/>
      <c r="L27" s="92"/>
      <c r="M27" s="66"/>
      <c r="N27" s="92"/>
      <c r="O27" s="48"/>
      <c r="P27" s="66"/>
      <c r="Q27" s="66"/>
      <c r="R27" s="146"/>
      <c r="S27" s="66"/>
      <c r="T27" s="146"/>
      <c r="U27" s="146"/>
    </row>
    <row r="28" spans="1:25" ht="14.1" customHeight="1" x14ac:dyDescent="0.15">
      <c r="A28" s="2"/>
      <c r="B28" s="3"/>
      <c r="C28" s="3"/>
      <c r="D28" s="865"/>
      <c r="E28" s="865"/>
      <c r="F28" s="865"/>
      <c r="G28" s="866"/>
      <c r="H28" s="227"/>
      <c r="I28" s="218"/>
      <c r="J28" s="533"/>
      <c r="K28" s="66"/>
      <c r="L28" s="92"/>
      <c r="M28" s="66"/>
      <c r="N28" s="92"/>
      <c r="O28" s="48"/>
      <c r="P28" s="66"/>
      <c r="Q28" s="66"/>
      <c r="R28" s="146"/>
      <c r="S28" s="66"/>
      <c r="T28" s="146"/>
      <c r="U28" s="146"/>
    </row>
    <row r="29" spans="1:25" ht="14.1" customHeight="1" x14ac:dyDescent="0.15">
      <c r="A29" s="2"/>
      <c r="B29" s="3"/>
      <c r="C29" s="3"/>
      <c r="D29" s="865"/>
      <c r="E29" s="865"/>
      <c r="F29" s="865"/>
      <c r="G29" s="866"/>
      <c r="H29" s="227"/>
      <c r="I29" s="218"/>
      <c r="J29" s="533"/>
      <c r="K29" s="66"/>
      <c r="L29" s="92"/>
      <c r="M29" s="66"/>
      <c r="N29" s="92"/>
      <c r="O29" s="48"/>
      <c r="P29" s="66"/>
      <c r="Q29" s="66"/>
      <c r="R29" s="146"/>
      <c r="S29" s="66"/>
      <c r="T29" s="146"/>
      <c r="U29" s="146"/>
    </row>
    <row r="30" spans="1:25" ht="14.1" customHeight="1" x14ac:dyDescent="0.15">
      <c r="A30" s="2"/>
      <c r="B30" s="3"/>
      <c r="C30" s="3"/>
      <c r="D30" s="865"/>
      <c r="E30" s="865"/>
      <c r="F30" s="865"/>
      <c r="G30" s="866"/>
      <c r="H30" s="227"/>
      <c r="I30" s="218"/>
      <c r="J30" s="533"/>
      <c r="K30" s="92"/>
      <c r="L30" s="48"/>
      <c r="M30" s="66"/>
      <c r="N30" s="92"/>
      <c r="O30" s="48"/>
      <c r="P30" s="66"/>
      <c r="Q30" s="66"/>
      <c r="R30" s="146"/>
      <c r="S30" s="66"/>
      <c r="T30" s="146"/>
      <c r="U30" s="146"/>
    </row>
    <row r="31" spans="1:25" ht="14.1" customHeight="1" x14ac:dyDescent="0.15">
      <c r="A31" s="2"/>
      <c r="B31" s="3"/>
      <c r="C31" s="3"/>
      <c r="D31" s="888"/>
      <c r="E31" s="888"/>
      <c r="F31" s="888"/>
      <c r="G31" s="889"/>
      <c r="H31" s="227"/>
      <c r="I31" s="218"/>
      <c r="J31" s="533"/>
      <c r="K31" s="181"/>
      <c r="L31" s="56"/>
      <c r="M31" s="176"/>
      <c r="N31" s="181"/>
      <c r="O31" s="56"/>
      <c r="P31" s="176"/>
      <c r="Q31" s="176"/>
      <c r="R31" s="151"/>
      <c r="S31" s="176"/>
      <c r="T31" s="151"/>
      <c r="U31" s="151"/>
    </row>
    <row r="32" spans="1:25" ht="14.1" customHeight="1" x14ac:dyDescent="0.15">
      <c r="A32" s="188"/>
      <c r="B32" s="19"/>
      <c r="C32" s="19"/>
      <c r="D32" s="896" t="s">
        <v>331</v>
      </c>
      <c r="E32" s="863"/>
      <c r="F32" s="863"/>
      <c r="G32" s="864"/>
      <c r="H32" s="209" t="s">
        <v>332</v>
      </c>
      <c r="I32" s="210"/>
      <c r="J32" s="35" t="s">
        <v>166</v>
      </c>
      <c r="K32" s="258">
        <f>6.667/'3. Parameters kostprijsmodel'!C29</f>
        <v>2.6668000000000001E-2</v>
      </c>
      <c r="L32" s="258">
        <f>6.667/'3. Parameters kostprijsmodel'!C29</f>
        <v>2.6668000000000001E-2</v>
      </c>
      <c r="M32" s="67" t="s">
        <v>275</v>
      </c>
      <c r="N32" s="727" t="s">
        <v>276</v>
      </c>
      <c r="O32" s="728"/>
      <c r="P32" s="71">
        <v>1</v>
      </c>
      <c r="Q32" s="71" t="s">
        <v>167</v>
      </c>
      <c r="R32" s="156">
        <f>IF(Q32='3. Parameters kostprijsmodel'!$C$9,'3. Parameters kostprijsmodel'!$D$9,IF(Q32='3. Parameters kostprijsmodel'!$C$10,'3. Parameters kostprijsmodel'!$D$10,IF(Q32='3. Parameters kostprijsmodel'!$C$11,'3. Parameters kostprijsmodel'!$D$11,"")))</f>
        <v>91.68</v>
      </c>
      <c r="S32" s="71">
        <v>0</v>
      </c>
      <c r="T32" s="156">
        <f>IF($K32="","",K32*$P32*$R32+$S32)</f>
        <v>2.4449222400000004</v>
      </c>
      <c r="U32" s="156">
        <f>IF($L32="","",L32*$P32*$R32+$S32)</f>
        <v>2.4449222400000004</v>
      </c>
    </row>
    <row r="33" spans="1:21" ht="14.1" customHeight="1" x14ac:dyDescent="0.15">
      <c r="A33" s="2"/>
      <c r="B33" s="3"/>
      <c r="C33" s="3"/>
      <c r="D33" s="897"/>
      <c r="E33" s="865"/>
      <c r="F33" s="865"/>
      <c r="G33" s="866"/>
      <c r="H33" s="876" t="s">
        <v>333</v>
      </c>
      <c r="I33" s="877"/>
      <c r="J33" s="36" t="s">
        <v>171</v>
      </c>
      <c r="K33" s="258">
        <f>3.333/'3. Parameters kostprijsmodel'!C29</f>
        <v>1.3332E-2</v>
      </c>
      <c r="L33" s="258">
        <f>3.333/'3. Parameters kostprijsmodel'!C29</f>
        <v>1.3332E-2</v>
      </c>
      <c r="M33" s="67" t="s">
        <v>275</v>
      </c>
      <c r="N33" s="727" t="s">
        <v>276</v>
      </c>
      <c r="O33" s="728"/>
      <c r="P33" s="65">
        <v>1</v>
      </c>
      <c r="Q33" s="65" t="s">
        <v>172</v>
      </c>
      <c r="R33" s="157">
        <f>IF(Q33='3. Parameters kostprijsmodel'!$C$9,'3. Parameters kostprijsmodel'!$D$9,IF(Q33='3. Parameters kostprijsmodel'!$C$10,'3. Parameters kostprijsmodel'!$D$10,IF(Q33='3. Parameters kostprijsmodel'!$C$11,'3. Parameters kostprijsmodel'!$D$11,"")))</f>
        <v>66.255819148936169</v>
      </c>
      <c r="S33" s="65">
        <v>0</v>
      </c>
      <c r="T33" s="157">
        <f t="shared" si="2"/>
        <v>0.88332258089361704</v>
      </c>
      <c r="U33" s="157">
        <f t="shared" si="1"/>
        <v>0.88332258089361704</v>
      </c>
    </row>
    <row r="34" spans="1:21" ht="14.1" customHeight="1" x14ac:dyDescent="0.15">
      <c r="A34" s="2"/>
      <c r="B34" s="3"/>
      <c r="C34" s="3"/>
      <c r="D34" s="897"/>
      <c r="E34" s="865"/>
      <c r="F34" s="865"/>
      <c r="G34" s="866"/>
      <c r="H34" s="869" t="s">
        <v>333</v>
      </c>
      <c r="I34" s="870"/>
      <c r="J34" s="43" t="s">
        <v>166</v>
      </c>
      <c r="K34" s="258">
        <f>3.5/'3. Parameters kostprijsmodel'!C29</f>
        <v>1.4E-2</v>
      </c>
      <c r="L34" s="258">
        <f>3.5/'3. Parameters kostprijsmodel'!C29</f>
        <v>1.4E-2</v>
      </c>
      <c r="M34" s="103" t="s">
        <v>275</v>
      </c>
      <c r="N34" s="727" t="s">
        <v>276</v>
      </c>
      <c r="O34" s="728"/>
      <c r="P34" s="68">
        <v>1</v>
      </c>
      <c r="Q34" s="68" t="s">
        <v>167</v>
      </c>
      <c r="R34" s="158">
        <f>IF(Q34='3. Parameters kostprijsmodel'!$C$9,'3. Parameters kostprijsmodel'!$D$9,IF(Q34='3. Parameters kostprijsmodel'!$C$10,'3. Parameters kostprijsmodel'!$D$10,IF(Q34='3. Parameters kostprijsmodel'!$C$11,'3. Parameters kostprijsmodel'!$D$11,"")))</f>
        <v>91.68</v>
      </c>
      <c r="S34" s="68">
        <v>0</v>
      </c>
      <c r="T34" s="158">
        <f t="shared" si="2"/>
        <v>1.2835200000000002</v>
      </c>
      <c r="U34" s="158">
        <f>IF($L34="","",L34*$P34*$R34+$S34)</f>
        <v>1.2835200000000002</v>
      </c>
    </row>
    <row r="35" spans="1:21" ht="14.1" customHeight="1" x14ac:dyDescent="0.15">
      <c r="A35" s="2"/>
      <c r="B35" s="3"/>
      <c r="C35" s="3"/>
      <c r="D35" s="897"/>
      <c r="E35" s="865"/>
      <c r="F35" s="865"/>
      <c r="G35" s="866"/>
      <c r="H35" s="228"/>
      <c r="I35" s="534"/>
      <c r="J35" s="533"/>
      <c r="K35" s="53"/>
      <c r="L35" s="66"/>
      <c r="M35" s="66"/>
      <c r="N35" s="92"/>
      <c r="O35" s="259"/>
      <c r="P35" s="66"/>
      <c r="Q35" s="66"/>
      <c r="R35" s="146" t="str">
        <f>IF(Q35='3. Parameters kostprijsmodel'!$C$9,'3. Parameters kostprijsmodel'!$D$9,IF(Q35='3. Parameters kostprijsmodel'!$C$10,'3. Parameters kostprijsmodel'!$D$10,IF(Q35='3. Parameters kostprijsmodel'!$C$11,'3. Parameters kostprijsmodel'!$D$11,"")))</f>
        <v/>
      </c>
      <c r="S35" s="66"/>
      <c r="T35" s="146" t="str">
        <f t="shared" si="2"/>
        <v/>
      </c>
      <c r="U35" s="146" t="str">
        <f t="shared" si="1"/>
        <v/>
      </c>
    </row>
    <row r="36" spans="1:21" ht="14.1" customHeight="1" x14ac:dyDescent="0.15">
      <c r="A36" s="2"/>
      <c r="B36" s="3"/>
      <c r="C36" s="3"/>
      <c r="D36" s="897"/>
      <c r="E36" s="865"/>
      <c r="F36" s="865"/>
      <c r="G36" s="866"/>
      <c r="H36" s="217"/>
      <c r="I36" s="218"/>
      <c r="J36" s="533"/>
      <c r="K36" s="72"/>
      <c r="L36" s="72"/>
      <c r="M36" s="72"/>
      <c r="N36" s="92"/>
      <c r="O36" s="259"/>
      <c r="P36" s="92"/>
      <c r="Q36" s="259"/>
      <c r="R36" s="146" t="str">
        <f>IF(Q36='3. Parameters kostprijsmodel'!$C$9,'3. Parameters kostprijsmodel'!$D$9,IF(Q36='3. Parameters kostprijsmodel'!$C$10,'3. Parameters kostprijsmodel'!$D$10,IF(Q36='3. Parameters kostprijsmodel'!$C$11,'3. Parameters kostprijsmodel'!$D$11,"")))</f>
        <v/>
      </c>
      <c r="S36" s="66"/>
      <c r="T36" s="146" t="str">
        <f t="shared" si="2"/>
        <v/>
      </c>
      <c r="U36" s="146" t="str">
        <f t="shared" si="1"/>
        <v/>
      </c>
    </row>
    <row r="37" spans="1:21" ht="11.25" x14ac:dyDescent="0.15">
      <c r="A37" s="187"/>
      <c r="B37" s="20"/>
      <c r="C37" s="20"/>
      <c r="D37" s="898"/>
      <c r="E37" s="888"/>
      <c r="F37" s="888"/>
      <c r="G37" s="889"/>
      <c r="H37" s="229"/>
      <c r="I37" s="290"/>
      <c r="J37" s="287"/>
      <c r="K37" s="176"/>
      <c r="L37" s="176"/>
      <c r="M37" s="176"/>
      <c r="N37" s="181"/>
      <c r="O37" s="253"/>
      <c r="P37" s="181"/>
      <c r="Q37" s="253"/>
      <c r="R37" s="151" t="str">
        <f>IF(Q37='3. Parameters kostprijsmodel'!$C$9,'3. Parameters kostprijsmodel'!$D$9,IF(Q37='3. Parameters kostprijsmodel'!$C$10,'3. Parameters kostprijsmodel'!$D$10,IF(Q37='3. Parameters kostprijsmodel'!$C$11,'3. Parameters kostprijsmodel'!$D$11,"")))</f>
        <v/>
      </c>
      <c r="S37" s="176"/>
      <c r="T37" s="151" t="str">
        <f t="shared" si="2"/>
        <v/>
      </c>
      <c r="U37" s="151" t="str">
        <f t="shared" si="1"/>
        <v/>
      </c>
    </row>
    <row r="38" spans="1:21" ht="14.1" customHeight="1" x14ac:dyDescent="0.15">
      <c r="A38" s="188"/>
      <c r="B38" s="19"/>
      <c r="C38" s="19"/>
      <c r="D38" s="899" t="s">
        <v>349</v>
      </c>
      <c r="E38" s="859"/>
      <c r="F38" s="859"/>
      <c r="G38" s="860"/>
      <c r="H38" s="867" t="s">
        <v>314</v>
      </c>
      <c r="I38" s="868"/>
      <c r="J38" s="178" t="s">
        <v>166</v>
      </c>
      <c r="K38" s="258">
        <v>0.13958333333333325</v>
      </c>
      <c r="L38" s="258">
        <v>6.7750000000000005E-2</v>
      </c>
      <c r="M38" s="67" t="s">
        <v>275</v>
      </c>
      <c r="N38" s="727" t="s">
        <v>282</v>
      </c>
      <c r="O38" s="728"/>
      <c r="P38" s="504">
        <v>2</v>
      </c>
      <c r="Q38" s="256" t="s">
        <v>169</v>
      </c>
      <c r="R38" s="157">
        <f>IF(Q38='3. Parameters kostprijsmodel'!$C$9,'3. Parameters kostprijsmodel'!$D$9,IF(Q38='3. Parameters kostprijsmodel'!$C$10,'3. Parameters kostprijsmodel'!$D$10,IF(Q38='3. Parameters kostprijsmodel'!$C$11,'3. Parameters kostprijsmodel'!$D$11,"")))</f>
        <v>76.03</v>
      </c>
      <c r="S38" s="65">
        <v>0</v>
      </c>
      <c r="T38" s="157">
        <f t="shared" si="2"/>
        <v>21.225041666666655</v>
      </c>
      <c r="U38" s="157">
        <f t="shared" si="1"/>
        <v>10.302065000000001</v>
      </c>
    </row>
    <row r="39" spans="1:21" ht="14.1" customHeight="1" x14ac:dyDescent="0.15">
      <c r="A39" s="2"/>
      <c r="B39" s="3"/>
      <c r="C39" s="3"/>
      <c r="D39" s="900"/>
      <c r="E39" s="861"/>
      <c r="F39" s="861"/>
      <c r="G39" s="862"/>
      <c r="H39" s="230" t="s">
        <v>315</v>
      </c>
      <c r="I39" s="242"/>
      <c r="J39" s="178" t="s">
        <v>166</v>
      </c>
      <c r="K39" s="65">
        <v>0</v>
      </c>
      <c r="L39" s="65">
        <v>0</v>
      </c>
      <c r="M39" s="67" t="s">
        <v>275</v>
      </c>
      <c r="N39" s="727" t="s">
        <v>282</v>
      </c>
      <c r="O39" s="728"/>
      <c r="P39" s="504">
        <v>1</v>
      </c>
      <c r="Q39" s="256" t="s">
        <v>169</v>
      </c>
      <c r="R39" s="157">
        <f>IF(Q39='3. Parameters kostprijsmodel'!$C$9,'3. Parameters kostprijsmodel'!$D$9,IF(Q39='3. Parameters kostprijsmodel'!$C$10,'3. Parameters kostprijsmodel'!$D$10,IF(Q39='3. Parameters kostprijsmodel'!$C$11,'3. Parameters kostprijsmodel'!$D$11,"")))</f>
        <v>76.03</v>
      </c>
      <c r="S39" s="65">
        <v>0</v>
      </c>
      <c r="T39" s="157">
        <f t="shared" si="2"/>
        <v>0</v>
      </c>
      <c r="U39" s="157">
        <f t="shared" si="1"/>
        <v>0</v>
      </c>
    </row>
    <row r="40" spans="1:21" ht="14.1" customHeight="1" x14ac:dyDescent="0.15">
      <c r="A40" s="2"/>
      <c r="B40" s="3"/>
      <c r="C40" s="3"/>
      <c r="D40" s="900"/>
      <c r="E40" s="861"/>
      <c r="F40" s="861"/>
      <c r="G40" s="862"/>
      <c r="H40" s="217"/>
      <c r="I40" s="218"/>
      <c r="J40" s="533"/>
      <c r="K40" s="66"/>
      <c r="L40" s="66"/>
      <c r="M40" s="66"/>
      <c r="N40" s="92"/>
      <c r="O40" s="259"/>
      <c r="P40" s="92"/>
      <c r="Q40" s="259"/>
      <c r="R40" s="146" t="str">
        <f>IF(Q40='3. Parameters kostprijsmodel'!$C$9,'3. Parameters kostprijsmodel'!$D$9,IF(Q40='3. Parameters kostprijsmodel'!$C$10,'3. Parameters kostprijsmodel'!$D$10,IF(Q40='3. Parameters kostprijsmodel'!$C$11,'3. Parameters kostprijsmodel'!$D$11,"")))</f>
        <v/>
      </c>
      <c r="S40" s="66"/>
      <c r="T40" s="146" t="str">
        <f t="shared" si="2"/>
        <v/>
      </c>
      <c r="U40" s="146" t="str">
        <f t="shared" si="1"/>
        <v/>
      </c>
    </row>
    <row r="41" spans="1:21" ht="14.1" customHeight="1" x14ac:dyDescent="0.15">
      <c r="A41" s="2"/>
      <c r="B41" s="3"/>
      <c r="C41" s="3"/>
      <c r="D41" s="900"/>
      <c r="E41" s="861"/>
      <c r="F41" s="861"/>
      <c r="G41" s="862"/>
      <c r="H41" s="217"/>
      <c r="I41" s="218"/>
      <c r="J41" s="533"/>
      <c r="K41" s="72"/>
      <c r="L41" s="72"/>
      <c r="M41" s="72"/>
      <c r="N41" s="92"/>
      <c r="O41" s="259"/>
      <c r="P41" s="92"/>
      <c r="Q41" s="259"/>
      <c r="R41" s="146" t="str">
        <f>IF(Q41='3. Parameters kostprijsmodel'!$C$9,'3. Parameters kostprijsmodel'!$D$9,IF(Q41='3. Parameters kostprijsmodel'!$C$10,'3. Parameters kostprijsmodel'!$D$10,IF(Q41='3. Parameters kostprijsmodel'!$C$11,'3. Parameters kostprijsmodel'!$D$11,"")))</f>
        <v/>
      </c>
      <c r="S41" s="66"/>
      <c r="T41" s="146" t="str">
        <f t="shared" si="2"/>
        <v/>
      </c>
      <c r="U41" s="146" t="str">
        <f t="shared" si="1"/>
        <v/>
      </c>
    </row>
    <row r="42" spans="1:21" ht="14.1" customHeight="1" x14ac:dyDescent="0.15">
      <c r="A42" s="2"/>
      <c r="B42" s="3"/>
      <c r="C42" s="3"/>
      <c r="D42" s="900"/>
      <c r="E42" s="861"/>
      <c r="F42" s="861"/>
      <c r="G42" s="862"/>
      <c r="H42" s="217"/>
      <c r="I42" s="218"/>
      <c r="J42" s="533"/>
      <c r="K42" s="66"/>
      <c r="L42" s="66"/>
      <c r="M42" s="66"/>
      <c r="N42" s="92"/>
      <c r="O42" s="259"/>
      <c r="P42" s="92"/>
      <c r="Q42" s="259"/>
      <c r="R42" s="146" t="str">
        <f>IF(Q42='3. Parameters kostprijsmodel'!$C$9,'3. Parameters kostprijsmodel'!$D$9,IF(Q42='3. Parameters kostprijsmodel'!$C$10,'3. Parameters kostprijsmodel'!$D$10,IF(Q42='3. Parameters kostprijsmodel'!$C$11,'3. Parameters kostprijsmodel'!$D$11,"")))</f>
        <v/>
      </c>
      <c r="S42" s="66"/>
      <c r="T42" s="146" t="str">
        <f t="shared" si="2"/>
        <v/>
      </c>
      <c r="U42" s="146" t="str">
        <f t="shared" si="1"/>
        <v/>
      </c>
    </row>
    <row r="43" spans="1:21" ht="14.1" customHeight="1" x14ac:dyDescent="0.15">
      <c r="A43" s="2"/>
      <c r="B43" s="3"/>
      <c r="C43" s="3"/>
      <c r="D43" s="900"/>
      <c r="E43" s="861"/>
      <c r="F43" s="861"/>
      <c r="G43" s="862"/>
      <c r="H43" s="229"/>
      <c r="I43" s="290"/>
      <c r="J43" s="533"/>
      <c r="K43" s="176"/>
      <c r="L43" s="176"/>
      <c r="M43" s="176"/>
      <c r="N43" s="181"/>
      <c r="O43" s="253"/>
      <c r="P43" s="181"/>
      <c r="Q43" s="253"/>
      <c r="R43" s="151" t="str">
        <f>IF(Q43='3. Parameters kostprijsmodel'!$C$9,'3. Parameters kostprijsmodel'!$D$9,IF(Q43='3. Parameters kostprijsmodel'!$C$10,'3. Parameters kostprijsmodel'!$D$10,IF(Q43='3. Parameters kostprijsmodel'!$C$11,'3. Parameters kostprijsmodel'!$D$11,"")))</f>
        <v/>
      </c>
      <c r="S43" s="176"/>
      <c r="T43" s="151" t="str">
        <f t="shared" si="2"/>
        <v/>
      </c>
      <c r="U43" s="151" t="str">
        <f t="shared" si="1"/>
        <v/>
      </c>
    </row>
    <row r="44" spans="1:21" ht="14.1" customHeight="1" x14ac:dyDescent="0.15">
      <c r="A44" s="188"/>
      <c r="B44" s="19"/>
      <c r="C44" s="5"/>
      <c r="D44" s="900" t="s">
        <v>350</v>
      </c>
      <c r="E44" s="861"/>
      <c r="F44" s="861"/>
      <c r="G44" s="862"/>
      <c r="H44" s="230" t="s">
        <v>317</v>
      </c>
      <c r="I44" s="242"/>
      <c r="J44" s="178" t="s">
        <v>166</v>
      </c>
      <c r="K44" s="284">
        <f>K38</f>
        <v>0.13958333333333325</v>
      </c>
      <c r="L44" s="284">
        <f>L38</f>
        <v>6.7750000000000005E-2</v>
      </c>
      <c r="M44" s="67" t="s">
        <v>275</v>
      </c>
      <c r="N44" s="727" t="s">
        <v>282</v>
      </c>
      <c r="O44" s="728"/>
      <c r="P44" s="504">
        <v>1</v>
      </c>
      <c r="Q44" s="256" t="s">
        <v>169</v>
      </c>
      <c r="R44" s="157">
        <f>IF(Q44='3. Parameters kostprijsmodel'!$C$9,'3. Parameters kostprijsmodel'!$D$9,IF(Q44='3. Parameters kostprijsmodel'!$C$10,'3. Parameters kostprijsmodel'!$D$10,IF(Q44='3. Parameters kostprijsmodel'!$C$11,'3. Parameters kostprijsmodel'!$D$11,"")))</f>
        <v>76.03</v>
      </c>
      <c r="S44" s="65">
        <v>0</v>
      </c>
      <c r="T44" s="157">
        <f t="shared" si="2"/>
        <v>10.612520833333328</v>
      </c>
      <c r="U44" s="157">
        <f t="shared" si="1"/>
        <v>5.1510325000000003</v>
      </c>
    </row>
    <row r="45" spans="1:21" ht="14.1" customHeight="1" x14ac:dyDescent="0.15">
      <c r="A45" s="2"/>
      <c r="B45" s="3"/>
      <c r="C45" s="6"/>
      <c r="D45" s="900"/>
      <c r="E45" s="861"/>
      <c r="F45" s="861"/>
      <c r="G45" s="862"/>
      <c r="H45" s="230" t="s">
        <v>351</v>
      </c>
      <c r="I45" s="242"/>
      <c r="J45" s="178" t="s">
        <v>166</v>
      </c>
      <c r="K45" s="284">
        <f>K38</f>
        <v>0.13958333333333325</v>
      </c>
      <c r="L45" s="284">
        <f>L38</f>
        <v>6.7750000000000005E-2</v>
      </c>
      <c r="M45" s="67" t="s">
        <v>275</v>
      </c>
      <c r="N45" s="727" t="s">
        <v>282</v>
      </c>
      <c r="O45" s="728"/>
      <c r="P45" s="504">
        <v>1</v>
      </c>
      <c r="Q45" s="256" t="s">
        <v>169</v>
      </c>
      <c r="R45" s="157">
        <f>IF(Q45='3. Parameters kostprijsmodel'!$C$9,'3. Parameters kostprijsmodel'!$D$9,IF(Q45='3. Parameters kostprijsmodel'!$C$10,'3. Parameters kostprijsmodel'!$D$10,IF(Q45='3. Parameters kostprijsmodel'!$C$11,'3. Parameters kostprijsmodel'!$D$11,"")))</f>
        <v>76.03</v>
      </c>
      <c r="S45" s="65">
        <v>0</v>
      </c>
      <c r="T45" s="157">
        <f t="shared" si="2"/>
        <v>10.612520833333328</v>
      </c>
      <c r="U45" s="157">
        <f t="shared" si="1"/>
        <v>5.1510325000000003</v>
      </c>
    </row>
    <row r="46" spans="1:21" ht="14.1" customHeight="1" x14ac:dyDescent="0.15">
      <c r="A46" s="2"/>
      <c r="B46" s="3"/>
      <c r="C46" s="6"/>
      <c r="D46" s="900"/>
      <c r="E46" s="861"/>
      <c r="F46" s="861"/>
      <c r="G46" s="862"/>
      <c r="H46" s="217"/>
      <c r="I46" s="218"/>
      <c r="J46" s="533"/>
      <c r="K46" s="66"/>
      <c r="L46" s="66"/>
      <c r="M46" s="66"/>
      <c r="N46" s="92"/>
      <c r="O46" s="259"/>
      <c r="P46" s="92"/>
      <c r="Q46" s="259"/>
      <c r="R46" s="146" t="str">
        <f>IF(Q46='3. Parameters kostprijsmodel'!$C$9,'3. Parameters kostprijsmodel'!$D$9,IF(Q46='3. Parameters kostprijsmodel'!$C$10,'3. Parameters kostprijsmodel'!$D$10,IF(Q46='3. Parameters kostprijsmodel'!$C$11,'3. Parameters kostprijsmodel'!$D$11,"")))</f>
        <v/>
      </c>
      <c r="S46" s="66"/>
      <c r="T46" s="146" t="str">
        <f t="shared" si="2"/>
        <v/>
      </c>
      <c r="U46" s="146" t="str">
        <f t="shared" si="1"/>
        <v/>
      </c>
    </row>
    <row r="47" spans="1:21" ht="14.1" customHeight="1" x14ac:dyDescent="0.15">
      <c r="A47" s="2"/>
      <c r="B47" s="3"/>
      <c r="C47" s="6"/>
      <c r="D47" s="900"/>
      <c r="E47" s="861"/>
      <c r="F47" s="861"/>
      <c r="G47" s="862"/>
      <c r="H47" s="217"/>
      <c r="I47" s="534"/>
      <c r="J47" s="533"/>
      <c r="K47" s="66"/>
      <c r="L47" s="66"/>
      <c r="M47" s="66"/>
      <c r="N47" s="92"/>
      <c r="O47" s="259"/>
      <c r="P47" s="66"/>
      <c r="Q47" s="66"/>
      <c r="R47" s="146" t="str">
        <f>IF(Q47='3. Parameters kostprijsmodel'!$C$9,'3. Parameters kostprijsmodel'!$D$9,IF(Q47='3. Parameters kostprijsmodel'!$C$10,'3. Parameters kostprijsmodel'!$D$10,IF(Q47='3. Parameters kostprijsmodel'!$C$11,'3. Parameters kostprijsmodel'!$D$11,"")))</f>
        <v/>
      </c>
      <c r="S47" s="66"/>
      <c r="T47" s="146" t="str">
        <f t="shared" si="2"/>
        <v/>
      </c>
      <c r="U47" s="146" t="str">
        <f t="shared" si="1"/>
        <v/>
      </c>
    </row>
    <row r="48" spans="1:21" ht="14.1" customHeight="1" x14ac:dyDescent="0.15">
      <c r="A48" s="2"/>
      <c r="B48" s="3"/>
      <c r="C48" s="6"/>
      <c r="D48" s="900"/>
      <c r="E48" s="861"/>
      <c r="F48" s="861"/>
      <c r="G48" s="862"/>
      <c r="H48" s="228"/>
      <c r="I48" s="534"/>
      <c r="J48" s="533"/>
      <c r="K48" s="66"/>
      <c r="L48" s="66"/>
      <c r="M48" s="66"/>
      <c r="N48" s="92"/>
      <c r="O48" s="259"/>
      <c r="P48" s="66"/>
      <c r="Q48" s="66"/>
      <c r="R48" s="146" t="str">
        <f>IF(Q48='3. Parameters kostprijsmodel'!$C$9,'3. Parameters kostprijsmodel'!$D$9,IF(Q48='3. Parameters kostprijsmodel'!$C$10,'3. Parameters kostprijsmodel'!$D$10,IF(Q48='3. Parameters kostprijsmodel'!$C$11,'3. Parameters kostprijsmodel'!$D$11,"")))</f>
        <v/>
      </c>
      <c r="S48" s="66"/>
      <c r="T48" s="146" t="str">
        <f t="shared" si="2"/>
        <v/>
      </c>
      <c r="U48" s="146" t="str">
        <f t="shared" si="1"/>
        <v/>
      </c>
    </row>
    <row r="49" spans="1:26" ht="14.1" customHeight="1" x14ac:dyDescent="0.15">
      <c r="A49" s="2"/>
      <c r="B49" s="3"/>
      <c r="C49" s="7"/>
      <c r="D49" s="900"/>
      <c r="E49" s="861"/>
      <c r="F49" s="861"/>
      <c r="G49" s="862"/>
      <c r="H49" s="217"/>
      <c r="I49" s="218"/>
      <c r="J49" s="533"/>
      <c r="K49" s="66"/>
      <c r="L49" s="66"/>
      <c r="M49" s="66"/>
      <c r="N49" s="181"/>
      <c r="O49" s="259"/>
      <c r="P49" s="92"/>
      <c r="Q49" s="259"/>
      <c r="R49" s="146" t="str">
        <f>IF(Q49='3. Parameters kostprijsmodel'!$C$9,'3. Parameters kostprijsmodel'!$D$9,IF(Q49='3. Parameters kostprijsmodel'!$C$10,'3. Parameters kostprijsmodel'!$D$10,IF(Q49='3. Parameters kostprijsmodel'!$C$11,'3. Parameters kostprijsmodel'!$D$11,"")))</f>
        <v/>
      </c>
      <c r="S49" s="66"/>
      <c r="T49" s="146" t="str">
        <f t="shared" si="2"/>
        <v/>
      </c>
      <c r="U49" s="146" t="str">
        <f t="shared" si="1"/>
        <v/>
      </c>
    </row>
    <row r="50" spans="1:26" ht="14.1" customHeight="1" x14ac:dyDescent="0.15">
      <c r="A50" s="188"/>
      <c r="B50" s="19"/>
      <c r="C50" s="5"/>
      <c r="D50" s="900" t="s">
        <v>352</v>
      </c>
      <c r="E50" s="861"/>
      <c r="F50" s="861"/>
      <c r="G50" s="862"/>
      <c r="H50" s="230" t="s">
        <v>339</v>
      </c>
      <c r="I50" s="291"/>
      <c r="J50" s="178" t="s">
        <v>166</v>
      </c>
      <c r="K50" s="284">
        <f>13.333/'3. Parameters kostprijsmodel'!$C$29</f>
        <v>5.3331999999999997E-2</v>
      </c>
      <c r="L50" s="284">
        <f>13.333/'3. Parameters kostprijsmodel'!$C$29</f>
        <v>5.3331999999999997E-2</v>
      </c>
      <c r="M50" s="67" t="s">
        <v>275</v>
      </c>
      <c r="N50" s="727" t="s">
        <v>276</v>
      </c>
      <c r="O50" s="728"/>
      <c r="P50" s="288">
        <v>1</v>
      </c>
      <c r="Q50" s="255" t="s">
        <v>167</v>
      </c>
      <c r="R50" s="156">
        <f>IF(Q50='3. Parameters kostprijsmodel'!$C$9,'3. Parameters kostprijsmodel'!$D$9,IF(Q50='3. Parameters kostprijsmodel'!$C$10,'3. Parameters kostprijsmodel'!$D$10,IF(Q50='3. Parameters kostprijsmodel'!$C$11,'3. Parameters kostprijsmodel'!$D$11,"")))</f>
        <v>91.68</v>
      </c>
      <c r="S50" s="71">
        <v>0</v>
      </c>
      <c r="T50" s="148">
        <f t="shared" si="2"/>
        <v>4.8894777600000001</v>
      </c>
      <c r="U50" s="148">
        <f>IF($L50="","",L50*$P50*$R50+$S50)</f>
        <v>4.8894777600000001</v>
      </c>
    </row>
    <row r="51" spans="1:26" ht="14.1" customHeight="1" x14ac:dyDescent="0.15">
      <c r="A51" s="2"/>
      <c r="B51" s="3"/>
      <c r="C51" s="6"/>
      <c r="D51" s="900"/>
      <c r="E51" s="861"/>
      <c r="F51" s="861"/>
      <c r="G51" s="862"/>
      <c r="H51" s="876" t="s">
        <v>340</v>
      </c>
      <c r="I51" s="877"/>
      <c r="J51" s="178" t="s">
        <v>166</v>
      </c>
      <c r="K51" s="284">
        <f>24/'3. Parameters kostprijsmodel'!$C$29</f>
        <v>9.6000000000000002E-2</v>
      </c>
      <c r="L51" s="284">
        <f>24/'3. Parameters kostprijsmodel'!$C$29</f>
        <v>9.6000000000000002E-2</v>
      </c>
      <c r="M51" s="67" t="s">
        <v>275</v>
      </c>
      <c r="N51" s="727" t="s">
        <v>276</v>
      </c>
      <c r="O51" s="728"/>
      <c r="P51" s="505">
        <v>1</v>
      </c>
      <c r="Q51" s="91" t="s">
        <v>167</v>
      </c>
      <c r="R51" s="148">
        <f>IF(Q51='3. Parameters kostprijsmodel'!$C$9,'3. Parameters kostprijsmodel'!$D$9,IF(Q51='3. Parameters kostprijsmodel'!$C$10,'3. Parameters kostprijsmodel'!$D$10,IF(Q51='3. Parameters kostprijsmodel'!$C$11,'3. Parameters kostprijsmodel'!$D$11,"")))</f>
        <v>91.68</v>
      </c>
      <c r="S51" s="90">
        <v>0</v>
      </c>
      <c r="T51" s="148">
        <f t="shared" si="2"/>
        <v>8.8012800000000002</v>
      </c>
      <c r="U51" s="148">
        <f t="shared" si="1"/>
        <v>8.8012800000000002</v>
      </c>
    </row>
    <row r="52" spans="1:26" ht="14.1" customHeight="1" x14ac:dyDescent="0.15">
      <c r="A52" s="2"/>
      <c r="B52" s="3"/>
      <c r="C52" s="6"/>
      <c r="D52" s="900"/>
      <c r="E52" s="861"/>
      <c r="F52" s="861"/>
      <c r="G52" s="862"/>
      <c r="H52" s="230" t="s">
        <v>341</v>
      </c>
      <c r="I52" s="535"/>
      <c r="J52" s="178" t="s">
        <v>166</v>
      </c>
      <c r="K52" s="284">
        <f>3.167/'3. Parameters kostprijsmodel'!$C$29</f>
        <v>1.2667999999999999E-2</v>
      </c>
      <c r="L52" s="284">
        <f>3.167/'3. Parameters kostprijsmodel'!$C$29</f>
        <v>1.2667999999999999E-2</v>
      </c>
      <c r="M52" s="67" t="s">
        <v>275</v>
      </c>
      <c r="N52" s="727" t="s">
        <v>276</v>
      </c>
      <c r="O52" s="728"/>
      <c r="P52" s="504">
        <v>1</v>
      </c>
      <c r="Q52" s="256" t="s">
        <v>167</v>
      </c>
      <c r="R52" s="157">
        <f>IF(Q52='3. Parameters kostprijsmodel'!$C$9,'3. Parameters kostprijsmodel'!$D$9,IF(Q52='3. Parameters kostprijsmodel'!$C$10,'3. Parameters kostprijsmodel'!$D$10,IF(Q52='3. Parameters kostprijsmodel'!$C$11,'3. Parameters kostprijsmodel'!$D$11,"")))</f>
        <v>91.68</v>
      </c>
      <c r="S52" s="65">
        <v>0</v>
      </c>
      <c r="T52" s="157">
        <f t="shared" si="2"/>
        <v>1.1614022399999999</v>
      </c>
      <c r="U52" s="157">
        <f t="shared" si="1"/>
        <v>1.1614022399999999</v>
      </c>
    </row>
    <row r="53" spans="1:26" ht="14.1" customHeight="1" x14ac:dyDescent="0.15">
      <c r="A53" s="2"/>
      <c r="B53" s="3"/>
      <c r="C53" s="6"/>
      <c r="D53" s="900"/>
      <c r="E53" s="861"/>
      <c r="F53" s="861"/>
      <c r="G53" s="862"/>
      <c r="H53" s="217"/>
      <c r="I53" s="218"/>
      <c r="J53" s="533"/>
      <c r="K53" s="66"/>
      <c r="L53" s="66"/>
      <c r="M53" s="66"/>
      <c r="N53" s="92"/>
      <c r="O53" s="259"/>
      <c r="P53" s="72"/>
      <c r="Q53" s="72"/>
      <c r="R53" s="153" t="str">
        <f>IF(Q53='3. Parameters kostprijsmodel'!$C$9,'3. Parameters kostprijsmodel'!$D$9,IF(Q53='3. Parameters kostprijsmodel'!$C$10,'3. Parameters kostprijsmodel'!$D$10,IF(Q53='3. Parameters kostprijsmodel'!$C$11,'3. Parameters kostprijsmodel'!$D$11,"")))</f>
        <v/>
      </c>
      <c r="S53" s="72"/>
      <c r="T53" s="153" t="str">
        <f t="shared" si="2"/>
        <v/>
      </c>
      <c r="U53" s="153" t="str">
        <f t="shared" si="1"/>
        <v/>
      </c>
    </row>
    <row r="54" spans="1:26" ht="14.1" customHeight="1" x14ac:dyDescent="0.15">
      <c r="A54" s="2"/>
      <c r="B54" s="3"/>
      <c r="C54" s="6"/>
      <c r="D54" s="900"/>
      <c r="E54" s="861"/>
      <c r="F54" s="861"/>
      <c r="G54" s="862"/>
      <c r="H54" s="217"/>
      <c r="I54" s="218"/>
      <c r="J54" s="533"/>
      <c r="K54" s="66"/>
      <c r="L54" s="66"/>
      <c r="M54" s="66"/>
      <c r="N54" s="92"/>
      <c r="O54" s="259"/>
      <c r="P54" s="72"/>
      <c r="Q54" s="72"/>
      <c r="R54" s="153" t="str">
        <f>IF(Q54='3. Parameters kostprijsmodel'!$C$9,'3. Parameters kostprijsmodel'!$D$9,IF(Q54='3. Parameters kostprijsmodel'!$C$10,'3. Parameters kostprijsmodel'!$D$10,IF(Q54='3. Parameters kostprijsmodel'!$C$11,'3. Parameters kostprijsmodel'!$D$11,"")))</f>
        <v/>
      </c>
      <c r="S54" s="72"/>
      <c r="T54" s="153" t="str">
        <f t="shared" si="2"/>
        <v/>
      </c>
      <c r="U54" s="153" t="str">
        <f t="shared" si="1"/>
        <v/>
      </c>
    </row>
    <row r="55" spans="1:26" ht="14.1" customHeight="1" x14ac:dyDescent="0.15">
      <c r="A55" s="187"/>
      <c r="B55" s="20"/>
      <c r="C55" s="7"/>
      <c r="D55" s="901"/>
      <c r="E55" s="878"/>
      <c r="F55" s="878"/>
      <c r="G55" s="879"/>
      <c r="H55" s="229"/>
      <c r="I55" s="290"/>
      <c r="J55" s="287"/>
      <c r="K55" s="76"/>
      <c r="L55" s="76"/>
      <c r="M55" s="76"/>
      <c r="N55" s="181"/>
      <c r="O55" s="253"/>
      <c r="P55" s="76"/>
      <c r="Q55" s="76"/>
      <c r="R55" s="145" t="str">
        <f>IF(Q55='3. Parameters kostprijsmodel'!$C$9,'3. Parameters kostprijsmodel'!$D$9,IF(Q55='3. Parameters kostprijsmodel'!$C$10,'3. Parameters kostprijsmodel'!$D$10,IF(Q55='3. Parameters kostprijsmodel'!$C$11,'3. Parameters kostprijsmodel'!$D$11,"")))</f>
        <v/>
      </c>
      <c r="S55" s="76"/>
      <c r="T55" s="145" t="str">
        <f t="shared" si="2"/>
        <v/>
      </c>
      <c r="U55" s="145" t="str">
        <f t="shared" si="1"/>
        <v/>
      </c>
    </row>
    <row r="56" spans="1:26" ht="14.1" customHeight="1" x14ac:dyDescent="0.15">
      <c r="A56" s="188"/>
      <c r="B56" s="19"/>
      <c r="C56" s="5"/>
      <c r="D56" s="899" t="s">
        <v>353</v>
      </c>
      <c r="E56" s="859"/>
      <c r="F56" s="859"/>
      <c r="G56" s="860"/>
      <c r="H56" s="880" t="s">
        <v>343</v>
      </c>
      <c r="I56" s="877"/>
      <c r="J56" s="178" t="s">
        <v>171</v>
      </c>
      <c r="K56" s="284">
        <f>8.667/'3. Parameters kostprijsmodel'!$C$29</f>
        <v>3.4667999999999997E-2</v>
      </c>
      <c r="L56" s="284">
        <f>8.667/'3. Parameters kostprijsmodel'!$C$29</f>
        <v>3.4667999999999997E-2</v>
      </c>
      <c r="M56" s="67" t="s">
        <v>275</v>
      </c>
      <c r="N56" s="727" t="s">
        <v>276</v>
      </c>
      <c r="O56" s="728"/>
      <c r="P56" s="71">
        <v>1</v>
      </c>
      <c r="Q56" s="71" t="s">
        <v>172</v>
      </c>
      <c r="R56" s="156">
        <f>IF(Q56='3. Parameters kostprijsmodel'!$C$9,'3. Parameters kostprijsmodel'!$D$9,IF(Q56='3. Parameters kostprijsmodel'!$C$10,'3. Parameters kostprijsmodel'!$D$10,IF(Q56='3. Parameters kostprijsmodel'!$C$11,'3. Parameters kostprijsmodel'!$D$11,"")))</f>
        <v>66.255819148936169</v>
      </c>
      <c r="S56" s="71">
        <v>0</v>
      </c>
      <c r="T56" s="156">
        <f t="shared" si="2"/>
        <v>2.2969567382553189</v>
      </c>
      <c r="U56" s="156">
        <f t="shared" si="1"/>
        <v>2.2969567382553189</v>
      </c>
    </row>
    <row r="57" spans="1:26" ht="14.1" customHeight="1" x14ac:dyDescent="0.15">
      <c r="A57" s="2"/>
      <c r="B57" s="3"/>
      <c r="C57" s="6"/>
      <c r="D57" s="900"/>
      <c r="E57" s="861"/>
      <c r="F57" s="861"/>
      <c r="G57" s="862"/>
      <c r="H57" s="230" t="s">
        <v>344</v>
      </c>
      <c r="I57" s="242"/>
      <c r="J57" s="178" t="s">
        <v>171</v>
      </c>
      <c r="K57" s="284">
        <f>6/'3. Parameters kostprijsmodel'!$C$29</f>
        <v>2.4E-2</v>
      </c>
      <c r="L57" s="284">
        <f>6/'3. Parameters kostprijsmodel'!$C$29</f>
        <v>2.4E-2</v>
      </c>
      <c r="M57" s="67" t="s">
        <v>275</v>
      </c>
      <c r="N57" s="727" t="s">
        <v>276</v>
      </c>
      <c r="O57" s="728"/>
      <c r="P57" s="65">
        <v>1</v>
      </c>
      <c r="Q57" s="65" t="s">
        <v>172</v>
      </c>
      <c r="R57" s="157">
        <f>IF(Q57='3. Parameters kostprijsmodel'!$C$9,'3. Parameters kostprijsmodel'!$D$9,IF(Q57='3. Parameters kostprijsmodel'!$C$10,'3. Parameters kostprijsmodel'!$D$10,IF(Q57='3. Parameters kostprijsmodel'!$C$11,'3. Parameters kostprijsmodel'!$D$11,"")))</f>
        <v>66.255819148936169</v>
      </c>
      <c r="S57" s="65">
        <v>0</v>
      </c>
      <c r="T57" s="157">
        <f t="shared" si="2"/>
        <v>1.5901396595744681</v>
      </c>
      <c r="U57" s="157">
        <f>IF($L57="","",L57*$P57*$R57+$S57)</f>
        <v>1.5901396595744681</v>
      </c>
    </row>
    <row r="58" spans="1:26" ht="14.1" customHeight="1" x14ac:dyDescent="0.15">
      <c r="A58" s="2"/>
      <c r="B58" s="3"/>
      <c r="C58" s="6"/>
      <c r="D58" s="900"/>
      <c r="E58" s="861"/>
      <c r="F58" s="861"/>
      <c r="G58" s="862"/>
      <c r="H58" s="217"/>
      <c r="I58" s="218"/>
      <c r="J58" s="533"/>
      <c r="K58" s="66"/>
      <c r="L58" s="66"/>
      <c r="M58" s="66"/>
      <c r="N58" s="92"/>
      <c r="O58" s="259"/>
      <c r="P58" s="66"/>
      <c r="Q58" s="66"/>
      <c r="R58" s="146" t="str">
        <f>IF(Q58='3. Parameters kostprijsmodel'!$C$9,'3. Parameters kostprijsmodel'!$D$9,IF(Q58='3. Parameters kostprijsmodel'!$C$10,'3. Parameters kostprijsmodel'!$D$10,IF(Q58='3. Parameters kostprijsmodel'!$C$11,'3. Parameters kostprijsmodel'!$D$11,"")))</f>
        <v/>
      </c>
      <c r="S58" s="66"/>
      <c r="T58" s="146" t="str">
        <f t="shared" si="2"/>
        <v/>
      </c>
      <c r="U58" s="146" t="str">
        <f t="shared" si="1"/>
        <v/>
      </c>
    </row>
    <row r="59" spans="1:26" ht="14.1" customHeight="1" x14ac:dyDescent="0.15">
      <c r="A59" s="2"/>
      <c r="B59" s="3"/>
      <c r="C59" s="6"/>
      <c r="D59" s="900"/>
      <c r="E59" s="861"/>
      <c r="F59" s="861"/>
      <c r="G59" s="862"/>
      <c r="H59" s="217"/>
      <c r="I59" s="218"/>
      <c r="J59" s="533"/>
      <c r="K59" s="72"/>
      <c r="L59" s="72"/>
      <c r="M59" s="72"/>
      <c r="N59" s="92"/>
      <c r="O59" s="259"/>
      <c r="P59" s="66"/>
      <c r="Q59" s="66"/>
      <c r="R59" s="146" t="str">
        <f>IF(Q59='3. Parameters kostprijsmodel'!$C$9,'3. Parameters kostprijsmodel'!$D$9,IF(Q59='3. Parameters kostprijsmodel'!$C$10,'3. Parameters kostprijsmodel'!$D$10,IF(Q59='3. Parameters kostprijsmodel'!$C$11,'3. Parameters kostprijsmodel'!$D$11,"")))</f>
        <v/>
      </c>
      <c r="S59" s="66"/>
      <c r="T59" s="146" t="str">
        <f t="shared" si="2"/>
        <v/>
      </c>
      <c r="U59" s="146" t="str">
        <f t="shared" si="1"/>
        <v/>
      </c>
    </row>
    <row r="60" spans="1:26" ht="14.1" customHeight="1" x14ac:dyDescent="0.15">
      <c r="A60" s="2"/>
      <c r="B60" s="3"/>
      <c r="C60" s="6"/>
      <c r="D60" s="900"/>
      <c r="E60" s="861"/>
      <c r="F60" s="861"/>
      <c r="G60" s="862"/>
      <c r="H60" s="217"/>
      <c r="I60" s="218"/>
      <c r="J60" s="533"/>
      <c r="K60" s="72"/>
      <c r="L60" s="72"/>
      <c r="M60" s="72"/>
      <c r="N60" s="92"/>
      <c r="O60" s="259"/>
      <c r="P60" s="66"/>
      <c r="Q60" s="66"/>
      <c r="R60" s="146" t="str">
        <f>IF(Q60='3. Parameters kostprijsmodel'!$C$9,'3. Parameters kostprijsmodel'!$D$9,IF(Q60='3. Parameters kostprijsmodel'!$C$10,'3. Parameters kostprijsmodel'!$D$10,IF(Q60='3. Parameters kostprijsmodel'!$C$11,'3. Parameters kostprijsmodel'!$D$11,"")))</f>
        <v/>
      </c>
      <c r="S60" s="66"/>
      <c r="T60" s="146" t="str">
        <f t="shared" si="2"/>
        <v/>
      </c>
      <c r="U60" s="146" t="str">
        <f t="shared" si="1"/>
        <v/>
      </c>
    </row>
    <row r="61" spans="1:26" ht="14.1" customHeight="1" x14ac:dyDescent="0.15">
      <c r="A61" s="187"/>
      <c r="B61" s="20"/>
      <c r="C61" s="7"/>
      <c r="D61" s="901"/>
      <c r="E61" s="878"/>
      <c r="F61" s="878"/>
      <c r="G61" s="879"/>
      <c r="H61" s="229"/>
      <c r="I61" s="290"/>
      <c r="J61" s="287"/>
      <c r="K61" s="76"/>
      <c r="L61" s="76"/>
      <c r="M61" s="76"/>
      <c r="N61" s="181"/>
      <c r="O61" s="253"/>
      <c r="P61" s="76"/>
      <c r="Q61" s="76"/>
      <c r="R61" s="145" t="str">
        <f>IF(Q61='3. Parameters kostprijsmodel'!$C$9,'3. Parameters kostprijsmodel'!$D$9,IF(Q61='3. Parameters kostprijsmodel'!$C$10,'3. Parameters kostprijsmodel'!$D$10,IF(Q61='3. Parameters kostprijsmodel'!$C$11,'3. Parameters kostprijsmodel'!$D$11,"")))</f>
        <v/>
      </c>
      <c r="S61" s="76"/>
      <c r="T61" s="145" t="str">
        <f t="shared" si="2"/>
        <v/>
      </c>
      <c r="U61" s="145" t="str">
        <f t="shared" si="1"/>
        <v/>
      </c>
    </row>
    <row r="62" spans="1:26" ht="14.1" customHeight="1" x14ac:dyDescent="0.15">
      <c r="A62" s="10"/>
      <c r="B62" s="11"/>
      <c r="C62" s="11"/>
      <c r="D62" s="11"/>
      <c r="E62" s="11"/>
      <c r="F62" s="11"/>
      <c r="G62" s="11"/>
      <c r="H62" s="96"/>
      <c r="I62" s="536"/>
      <c r="J62" s="96"/>
      <c r="K62" s="98"/>
      <c r="L62" s="98"/>
      <c r="M62" s="98"/>
      <c r="N62" s="124"/>
      <c r="O62" s="124"/>
      <c r="P62" s="98"/>
      <c r="Q62" s="98"/>
      <c r="R62" s="98"/>
      <c r="S62" s="98"/>
      <c r="T62" s="98"/>
      <c r="U62" s="99"/>
    </row>
    <row r="63" spans="1:26" ht="14.1" customHeight="1" x14ac:dyDescent="0.15">
      <c r="A63" s="12"/>
      <c r="B63" s="13"/>
      <c r="C63" s="13"/>
      <c r="D63" s="13"/>
      <c r="E63" s="13"/>
      <c r="F63" s="13"/>
      <c r="G63" s="13"/>
      <c r="H63" s="13"/>
      <c r="I63" s="189"/>
      <c r="J63" s="13"/>
      <c r="K63" s="85"/>
      <c r="L63" s="85"/>
      <c r="M63" s="85"/>
      <c r="N63" s="122"/>
      <c r="O63" s="122"/>
      <c r="P63" s="85"/>
      <c r="Q63" s="85"/>
      <c r="R63" s="85"/>
      <c r="S63" s="85"/>
      <c r="T63" s="85"/>
      <c r="U63" s="100"/>
    </row>
    <row r="64" spans="1:26" s="8" customFormat="1" ht="14.1" customHeight="1" x14ac:dyDescent="0.15">
      <c r="A64" s="3"/>
      <c r="B64" s="3"/>
      <c r="C64" s="3"/>
      <c r="D64" s="3"/>
      <c r="E64" s="3"/>
      <c r="F64" s="3"/>
      <c r="G64" s="3"/>
      <c r="H64" s="3"/>
      <c r="I64" s="3"/>
      <c r="J64" s="3"/>
      <c r="K64" s="86"/>
      <c r="L64" s="86"/>
      <c r="M64" s="86"/>
      <c r="N64" s="123"/>
      <c r="O64" s="123"/>
      <c r="P64" s="86"/>
      <c r="Q64" s="86"/>
      <c r="R64" s="86"/>
      <c r="S64" s="86"/>
      <c r="T64" s="86"/>
      <c r="U64" s="86"/>
      <c r="V64" s="3"/>
      <c r="W64" s="3"/>
      <c r="X64" s="3"/>
      <c r="Y64" s="3"/>
      <c r="Z64" s="3"/>
    </row>
    <row r="65" spans="1:26" s="8" customFormat="1" ht="14.1" customHeight="1" x14ac:dyDescent="0.15">
      <c r="A65" s="3"/>
      <c r="B65" s="3"/>
      <c r="C65" s="3"/>
      <c r="D65" s="3"/>
      <c r="E65" s="3"/>
      <c r="F65" s="3"/>
      <c r="G65" s="3"/>
      <c r="H65" s="3"/>
      <c r="I65" s="3"/>
      <c r="J65" s="3"/>
      <c r="K65" s="86"/>
      <c r="L65" s="86"/>
      <c r="M65" s="86"/>
      <c r="N65" s="123"/>
      <c r="O65" s="123"/>
      <c r="P65" s="86"/>
      <c r="Q65" s="86"/>
      <c r="R65" s="86"/>
      <c r="S65" s="86"/>
      <c r="T65" s="86"/>
      <c r="U65" s="86"/>
      <c r="V65" s="3"/>
      <c r="W65" s="3"/>
      <c r="X65" s="3"/>
      <c r="Y65" s="3"/>
      <c r="Z65" s="3"/>
    </row>
    <row r="66" spans="1:26" s="8" customFormat="1" ht="12.95" customHeight="1" x14ac:dyDescent="0.15">
      <c r="A66" s="3"/>
      <c r="B66" s="3"/>
      <c r="C66" s="3"/>
      <c r="D66" s="3"/>
      <c r="E66" s="3"/>
      <c r="F66" s="3"/>
      <c r="G66" s="3"/>
      <c r="H66" s="3"/>
      <c r="I66" s="3"/>
      <c r="J66" s="3"/>
      <c r="K66" s="86"/>
      <c r="L66" s="86"/>
      <c r="M66" s="86"/>
      <c r="N66" s="123"/>
      <c r="O66" s="123"/>
      <c r="P66" s="86"/>
      <c r="Q66" s="86"/>
      <c r="R66" s="86"/>
      <c r="S66" s="86"/>
      <c r="T66" s="86"/>
      <c r="U66" s="86"/>
      <c r="V66" s="3"/>
      <c r="W66" s="3"/>
      <c r="X66" s="3"/>
      <c r="Y66" s="3"/>
      <c r="Z66" s="3"/>
    </row>
    <row r="67" spans="1:26" s="8" customFormat="1" ht="12.95" customHeight="1" x14ac:dyDescent="0.15">
      <c r="A67" s="3"/>
      <c r="B67" s="3"/>
      <c r="C67" s="3"/>
      <c r="D67" s="3"/>
      <c r="E67" s="3"/>
      <c r="F67" s="3"/>
      <c r="G67" s="3"/>
      <c r="H67" s="3"/>
      <c r="I67" s="3"/>
      <c r="J67" s="3"/>
      <c r="K67" s="86"/>
      <c r="L67" s="86"/>
      <c r="M67" s="86"/>
      <c r="N67" s="123"/>
      <c r="O67" s="123"/>
      <c r="P67" s="86"/>
      <c r="Q67" s="86"/>
      <c r="R67" s="86"/>
      <c r="S67" s="86"/>
      <c r="T67" s="86"/>
      <c r="U67" s="86"/>
      <c r="V67" s="3"/>
      <c r="W67" s="3"/>
      <c r="X67" s="3"/>
      <c r="Y67" s="3"/>
      <c r="Z67" s="3"/>
    </row>
    <row r="68" spans="1:26" s="8" customFormat="1" ht="12.95" customHeight="1" x14ac:dyDescent="0.15">
      <c r="A68" s="3"/>
      <c r="B68" s="3"/>
      <c r="C68" s="3"/>
      <c r="D68" s="3"/>
      <c r="E68" s="3"/>
      <c r="F68" s="3"/>
      <c r="G68" s="3"/>
      <c r="H68" s="3"/>
      <c r="I68" s="3"/>
      <c r="J68" s="3"/>
      <c r="K68" s="86"/>
      <c r="L68" s="86"/>
      <c r="M68" s="86"/>
      <c r="N68" s="123"/>
      <c r="O68" s="123"/>
      <c r="P68" s="86"/>
      <c r="Q68" s="86"/>
      <c r="R68" s="86"/>
      <c r="S68" s="86"/>
      <c r="T68" s="86"/>
      <c r="U68" s="86"/>
      <c r="V68" s="3"/>
      <c r="W68" s="3"/>
      <c r="X68" s="3"/>
      <c r="Y68" s="3"/>
      <c r="Z68" s="3"/>
    </row>
    <row r="69" spans="1:26" s="8" customFormat="1" x14ac:dyDescent="0.15">
      <c r="A69" s="3"/>
      <c r="B69" s="3"/>
      <c r="C69" s="3"/>
      <c r="D69" s="3"/>
      <c r="E69" s="3"/>
      <c r="F69" s="3"/>
      <c r="G69" s="3"/>
      <c r="H69" s="3"/>
      <c r="I69" s="3"/>
      <c r="J69" s="3"/>
      <c r="K69" s="86"/>
      <c r="L69" s="86"/>
      <c r="M69" s="86"/>
      <c r="N69" s="123"/>
      <c r="O69" s="123"/>
      <c r="P69" s="86"/>
      <c r="Q69" s="86"/>
      <c r="R69" s="86"/>
      <c r="S69" s="86"/>
      <c r="T69" s="86"/>
      <c r="U69" s="86"/>
      <c r="V69" s="3"/>
      <c r="W69" s="3"/>
      <c r="X69" s="3"/>
      <c r="Y69" s="3"/>
      <c r="Z69" s="3"/>
    </row>
    <row r="70" spans="1:26" s="8" customFormat="1" x14ac:dyDescent="0.15">
      <c r="A70" s="3"/>
      <c r="B70" s="3"/>
      <c r="C70" s="3"/>
      <c r="D70" s="3"/>
      <c r="E70" s="3"/>
      <c r="F70" s="3"/>
      <c r="G70" s="3"/>
      <c r="H70" s="3"/>
      <c r="I70" s="3"/>
      <c r="J70" s="3"/>
      <c r="K70" s="86"/>
      <c r="L70" s="86"/>
      <c r="M70" s="86"/>
      <c r="N70" s="123"/>
      <c r="O70" s="123"/>
      <c r="P70" s="86"/>
      <c r="Q70" s="86"/>
      <c r="R70" s="86"/>
      <c r="S70" s="86"/>
      <c r="T70" s="86"/>
      <c r="U70" s="86"/>
      <c r="V70" s="3"/>
      <c r="W70" s="3"/>
      <c r="X70" s="3"/>
      <c r="Y70" s="3"/>
      <c r="Z70" s="3"/>
    </row>
    <row r="71" spans="1:26" s="8" customFormat="1" x14ac:dyDescent="0.15">
      <c r="A71" s="3"/>
      <c r="B71" s="3"/>
      <c r="C71" s="3"/>
      <c r="D71" s="3"/>
      <c r="E71" s="3"/>
      <c r="F71" s="3"/>
      <c r="G71" s="3"/>
      <c r="H71" s="3"/>
      <c r="I71" s="3"/>
      <c r="J71" s="3"/>
      <c r="K71" s="86"/>
      <c r="L71" s="86"/>
      <c r="M71" s="86"/>
      <c r="N71" s="123"/>
      <c r="O71" s="123"/>
      <c r="P71" s="86"/>
      <c r="Q71" s="86"/>
      <c r="R71" s="86"/>
      <c r="S71" s="86"/>
      <c r="T71" s="86"/>
      <c r="U71" s="86"/>
      <c r="V71" s="3"/>
      <c r="W71" s="3"/>
      <c r="X71" s="3"/>
      <c r="Y71" s="3"/>
      <c r="Z71" s="3"/>
    </row>
    <row r="72" spans="1:26" s="8" customFormat="1" x14ac:dyDescent="0.15">
      <c r="A72" s="3"/>
      <c r="B72" s="3"/>
      <c r="C72" s="3"/>
      <c r="D72" s="3"/>
      <c r="E72" s="3"/>
      <c r="F72" s="3"/>
      <c r="G72" s="3"/>
      <c r="H72" s="3"/>
      <c r="I72" s="3"/>
      <c r="J72" s="3"/>
      <c r="K72" s="86"/>
      <c r="L72" s="86"/>
      <c r="M72" s="86"/>
      <c r="N72" s="123"/>
      <c r="O72" s="123"/>
      <c r="P72" s="86"/>
      <c r="Q72" s="86"/>
      <c r="R72" s="86"/>
      <c r="S72" s="86"/>
      <c r="T72" s="86"/>
      <c r="U72" s="86"/>
      <c r="V72" s="3"/>
      <c r="W72" s="3"/>
      <c r="X72" s="3"/>
      <c r="Y72" s="3"/>
      <c r="Z72" s="3"/>
    </row>
    <row r="73" spans="1:26" s="8" customFormat="1" x14ac:dyDescent="0.15">
      <c r="A73" s="3"/>
      <c r="B73" s="3"/>
      <c r="C73" s="3"/>
      <c r="D73" s="3"/>
      <c r="E73" s="3"/>
      <c r="F73" s="3"/>
      <c r="G73" s="3"/>
      <c r="H73" s="3"/>
      <c r="I73" s="3"/>
      <c r="J73" s="3"/>
      <c r="K73" s="86"/>
      <c r="L73" s="86"/>
      <c r="M73" s="86"/>
      <c r="N73" s="123"/>
      <c r="O73" s="123"/>
      <c r="P73" s="86"/>
      <c r="Q73" s="86"/>
      <c r="R73" s="86"/>
      <c r="S73" s="86"/>
      <c r="T73" s="86"/>
      <c r="U73" s="86"/>
      <c r="V73" s="3"/>
      <c r="W73" s="3"/>
      <c r="X73" s="3"/>
      <c r="Y73" s="3"/>
      <c r="Z73" s="3"/>
    </row>
    <row r="74" spans="1:26" s="8" customFormat="1" x14ac:dyDescent="0.15">
      <c r="A74" s="3"/>
      <c r="B74" s="3"/>
      <c r="C74" s="3"/>
      <c r="D74" s="3"/>
      <c r="E74" s="3"/>
      <c r="F74" s="3"/>
      <c r="G74" s="3"/>
      <c r="H74" s="3"/>
      <c r="I74" s="3"/>
      <c r="J74" s="3"/>
      <c r="K74" s="86"/>
      <c r="L74" s="86"/>
      <c r="M74" s="86"/>
      <c r="N74" s="123"/>
      <c r="O74" s="123"/>
      <c r="P74" s="86"/>
      <c r="Q74" s="86"/>
      <c r="R74" s="86"/>
      <c r="S74" s="86"/>
      <c r="T74" s="86"/>
      <c r="U74" s="86"/>
      <c r="V74" s="3"/>
      <c r="W74" s="3"/>
      <c r="X74" s="3"/>
      <c r="Y74" s="3"/>
      <c r="Z74" s="3"/>
    </row>
    <row r="75" spans="1:26" s="8" customFormat="1" x14ac:dyDescent="0.15">
      <c r="A75" s="3"/>
      <c r="B75" s="3"/>
      <c r="C75" s="3"/>
      <c r="D75" s="3"/>
      <c r="E75" s="3"/>
      <c r="F75" s="3"/>
      <c r="G75" s="3"/>
      <c r="H75" s="3"/>
      <c r="I75" s="3"/>
      <c r="J75" s="3"/>
      <c r="K75" s="86"/>
      <c r="L75" s="86"/>
      <c r="M75" s="86"/>
      <c r="N75" s="123"/>
      <c r="O75" s="123"/>
      <c r="P75" s="86"/>
      <c r="Q75" s="86"/>
      <c r="R75" s="86"/>
      <c r="S75" s="86"/>
      <c r="T75" s="86"/>
      <c r="U75" s="86"/>
      <c r="V75" s="3"/>
      <c r="W75" s="3"/>
      <c r="X75" s="3"/>
      <c r="Y75" s="3"/>
      <c r="Z75" s="3"/>
    </row>
    <row r="76" spans="1:26" s="8" customFormat="1" x14ac:dyDescent="0.15">
      <c r="A76" s="3"/>
      <c r="B76" s="3"/>
      <c r="C76" s="3"/>
      <c r="D76" s="3"/>
      <c r="E76" s="3"/>
      <c r="F76" s="3"/>
      <c r="G76" s="3"/>
      <c r="H76" s="3"/>
      <c r="I76" s="3"/>
      <c r="J76" s="3"/>
      <c r="K76" s="86"/>
      <c r="L76" s="86"/>
      <c r="M76" s="86"/>
      <c r="N76" s="123"/>
      <c r="O76" s="123"/>
      <c r="P76" s="86"/>
      <c r="Q76" s="86"/>
      <c r="R76" s="86"/>
      <c r="S76" s="86"/>
      <c r="T76" s="86"/>
      <c r="U76" s="86"/>
      <c r="V76" s="3"/>
      <c r="W76" s="3"/>
      <c r="X76" s="3"/>
      <c r="Y76" s="3"/>
      <c r="Z76" s="3"/>
    </row>
    <row r="77" spans="1:26" s="8" customFormat="1" x14ac:dyDescent="0.15">
      <c r="A77" s="3"/>
      <c r="B77" s="3"/>
      <c r="C77" s="3"/>
      <c r="D77" s="3"/>
      <c r="E77" s="3"/>
      <c r="F77" s="3"/>
      <c r="G77" s="3"/>
      <c r="H77" s="3"/>
      <c r="I77" s="3"/>
      <c r="J77" s="3"/>
      <c r="K77" s="86"/>
      <c r="L77" s="86"/>
      <c r="M77" s="86"/>
      <c r="N77" s="123"/>
      <c r="O77" s="123"/>
      <c r="P77" s="86"/>
      <c r="Q77" s="86"/>
      <c r="R77" s="86"/>
      <c r="S77" s="86"/>
      <c r="T77" s="86"/>
      <c r="U77" s="86"/>
      <c r="V77" s="3"/>
      <c r="W77" s="3"/>
      <c r="X77" s="3"/>
      <c r="Y77" s="3"/>
      <c r="Z77" s="3"/>
    </row>
    <row r="78" spans="1:26" s="8" customFormat="1" x14ac:dyDescent="0.15">
      <c r="A78" s="3"/>
      <c r="B78" s="3"/>
      <c r="C78" s="3"/>
      <c r="D78" s="3"/>
      <c r="E78" s="3"/>
      <c r="F78" s="3"/>
      <c r="G78" s="3"/>
      <c r="H78" s="3"/>
      <c r="I78" s="3"/>
      <c r="J78" s="3"/>
      <c r="K78" s="86"/>
      <c r="L78" s="86"/>
      <c r="M78" s="86"/>
      <c r="N78" s="123"/>
      <c r="O78" s="123"/>
      <c r="P78" s="86"/>
      <c r="Q78" s="86"/>
      <c r="R78" s="86"/>
      <c r="S78" s="86"/>
      <c r="T78" s="86"/>
      <c r="U78" s="86"/>
      <c r="V78" s="3"/>
      <c r="W78" s="3"/>
      <c r="X78" s="3"/>
      <c r="Y78" s="3"/>
      <c r="Z78" s="3"/>
    </row>
    <row r="79" spans="1:26" s="8" customFormat="1" x14ac:dyDescent="0.15">
      <c r="A79" s="3"/>
      <c r="B79" s="3"/>
      <c r="C79" s="3"/>
      <c r="D79" s="3"/>
      <c r="E79" s="3"/>
      <c r="F79" s="3"/>
      <c r="G79" s="3"/>
      <c r="H79" s="3"/>
      <c r="I79" s="3"/>
      <c r="J79" s="3"/>
      <c r="K79" s="86"/>
      <c r="L79" s="86"/>
      <c r="M79" s="86"/>
      <c r="N79" s="123"/>
      <c r="O79" s="123"/>
      <c r="P79" s="86"/>
      <c r="Q79" s="86"/>
      <c r="R79" s="86"/>
      <c r="S79" s="86"/>
      <c r="T79" s="86"/>
      <c r="U79" s="86"/>
      <c r="V79" s="3"/>
      <c r="W79" s="3"/>
      <c r="X79" s="3"/>
      <c r="Y79" s="3"/>
      <c r="Z79" s="3"/>
    </row>
    <row r="80" spans="1:26" s="8" customFormat="1" x14ac:dyDescent="0.15">
      <c r="A80" s="3"/>
      <c r="B80" s="3"/>
      <c r="C80" s="3"/>
      <c r="D80" s="3"/>
      <c r="E80" s="3"/>
      <c r="F80" s="3"/>
      <c r="G80" s="3"/>
      <c r="H80" s="3"/>
      <c r="I80" s="3"/>
      <c r="J80" s="3"/>
      <c r="K80" s="86"/>
      <c r="L80" s="86"/>
      <c r="M80" s="86"/>
      <c r="N80" s="123"/>
      <c r="O80" s="123"/>
      <c r="P80" s="86"/>
      <c r="Q80" s="86"/>
      <c r="R80" s="86"/>
      <c r="S80" s="86"/>
      <c r="T80" s="86"/>
      <c r="U80" s="86"/>
      <c r="V80" s="3"/>
      <c r="W80" s="3"/>
      <c r="X80" s="3"/>
      <c r="Y80" s="3"/>
      <c r="Z80" s="3"/>
    </row>
    <row r="81" spans="1:26" s="8" customFormat="1" x14ac:dyDescent="0.15">
      <c r="A81" s="3"/>
      <c r="B81" s="3"/>
      <c r="C81" s="3"/>
      <c r="D81" s="3"/>
      <c r="E81" s="3"/>
      <c r="F81" s="3"/>
      <c r="G81" s="3"/>
      <c r="H81" s="3"/>
      <c r="I81" s="3"/>
      <c r="J81" s="3"/>
      <c r="K81" s="86"/>
      <c r="L81" s="86"/>
      <c r="M81" s="86"/>
      <c r="N81" s="123"/>
      <c r="O81" s="123"/>
      <c r="P81" s="86"/>
      <c r="Q81" s="86"/>
      <c r="R81" s="86"/>
      <c r="S81" s="86"/>
      <c r="T81" s="86"/>
      <c r="U81" s="86"/>
      <c r="V81" s="3"/>
      <c r="W81" s="3"/>
      <c r="X81" s="3"/>
      <c r="Y81" s="3"/>
      <c r="Z81" s="3"/>
    </row>
    <row r="82" spans="1:26" s="8" customFormat="1" x14ac:dyDescent="0.15">
      <c r="A82" s="3"/>
      <c r="B82" s="3"/>
      <c r="C82" s="3"/>
      <c r="D82" s="3"/>
      <c r="E82" s="3"/>
      <c r="F82" s="3"/>
      <c r="G82" s="3"/>
      <c r="H82" s="3"/>
      <c r="I82" s="3"/>
      <c r="J82" s="3"/>
      <c r="K82" s="86"/>
      <c r="L82" s="86"/>
      <c r="M82" s="86"/>
      <c r="N82" s="123"/>
      <c r="O82" s="123"/>
      <c r="P82" s="86"/>
      <c r="Q82" s="86"/>
      <c r="R82" s="86"/>
      <c r="S82" s="86"/>
      <c r="T82" s="86"/>
      <c r="U82" s="86"/>
      <c r="V82" s="3"/>
      <c r="W82" s="3"/>
      <c r="X82" s="3"/>
      <c r="Y82" s="3"/>
      <c r="Z82" s="3"/>
    </row>
    <row r="83" spans="1:26" s="8" customFormat="1" x14ac:dyDescent="0.15">
      <c r="A83" s="3"/>
      <c r="B83" s="3"/>
      <c r="C83" s="3"/>
      <c r="D83" s="3"/>
      <c r="E83" s="3"/>
      <c r="F83" s="3"/>
      <c r="G83" s="3"/>
      <c r="H83" s="3"/>
      <c r="I83" s="3"/>
      <c r="J83" s="3"/>
      <c r="K83" s="86"/>
      <c r="L83" s="86"/>
      <c r="M83" s="86"/>
      <c r="N83" s="123"/>
      <c r="O83" s="123"/>
      <c r="P83" s="86"/>
      <c r="Q83" s="86"/>
      <c r="R83" s="86"/>
      <c r="S83" s="86"/>
      <c r="T83" s="86"/>
      <c r="U83" s="86"/>
      <c r="V83" s="3"/>
      <c r="W83" s="3"/>
      <c r="X83" s="3"/>
      <c r="Y83" s="3"/>
      <c r="Z83" s="3"/>
    </row>
    <row r="84" spans="1:26" s="8" customFormat="1" x14ac:dyDescent="0.15">
      <c r="A84" s="3"/>
      <c r="B84" s="3"/>
      <c r="C84" s="3"/>
      <c r="D84" s="3"/>
      <c r="E84" s="3"/>
      <c r="F84" s="3"/>
      <c r="G84" s="3"/>
      <c r="H84" s="3"/>
      <c r="I84" s="3"/>
      <c r="J84" s="3"/>
      <c r="K84" s="86"/>
      <c r="L84" s="86"/>
      <c r="M84" s="86"/>
      <c r="N84" s="123"/>
      <c r="O84" s="123"/>
      <c r="P84" s="86"/>
      <c r="Q84" s="86"/>
      <c r="R84" s="86"/>
      <c r="S84" s="86"/>
      <c r="T84" s="86"/>
      <c r="U84" s="86"/>
      <c r="V84" s="3"/>
      <c r="W84" s="3"/>
      <c r="X84" s="3"/>
      <c r="Y84" s="3"/>
      <c r="Z84" s="3"/>
    </row>
    <row r="85" spans="1:26" s="8" customFormat="1" x14ac:dyDescent="0.15">
      <c r="A85" s="3"/>
      <c r="B85" s="3"/>
      <c r="C85" s="3"/>
      <c r="D85" s="3"/>
      <c r="E85" s="3"/>
      <c r="F85" s="3"/>
      <c r="G85" s="3"/>
      <c r="H85" s="3"/>
      <c r="I85" s="3"/>
      <c r="J85" s="3"/>
      <c r="K85" s="86"/>
      <c r="L85" s="86"/>
      <c r="M85" s="86"/>
      <c r="N85" s="123"/>
      <c r="O85" s="123"/>
      <c r="P85" s="86"/>
      <c r="Q85" s="86"/>
      <c r="R85" s="86"/>
      <c r="S85" s="86"/>
      <c r="T85" s="86"/>
      <c r="U85" s="86"/>
      <c r="V85" s="3"/>
      <c r="W85" s="3"/>
      <c r="X85" s="3"/>
      <c r="Y85" s="3"/>
      <c r="Z85" s="3"/>
    </row>
    <row r="86" spans="1:26" s="8" customFormat="1" x14ac:dyDescent="0.15">
      <c r="A86" s="3"/>
      <c r="B86" s="3"/>
      <c r="C86" s="3"/>
      <c r="D86" s="3"/>
      <c r="E86" s="3"/>
      <c r="F86" s="3"/>
      <c r="G86" s="3"/>
      <c r="H86" s="3"/>
      <c r="I86" s="3"/>
      <c r="J86" s="3"/>
      <c r="K86" s="86"/>
      <c r="L86" s="86"/>
      <c r="M86" s="86"/>
      <c r="N86" s="123"/>
      <c r="O86" s="123"/>
      <c r="P86" s="86"/>
      <c r="Q86" s="86"/>
      <c r="R86" s="86"/>
      <c r="S86" s="86"/>
      <c r="T86" s="86"/>
      <c r="U86" s="86"/>
      <c r="V86" s="3"/>
      <c r="W86" s="3"/>
      <c r="X86" s="3"/>
      <c r="Y86" s="3"/>
      <c r="Z86" s="3"/>
    </row>
    <row r="87" spans="1:26" s="8" customFormat="1" x14ac:dyDescent="0.15">
      <c r="A87" s="3"/>
      <c r="B87" s="3"/>
      <c r="C87" s="3"/>
      <c r="D87" s="3"/>
      <c r="E87" s="3"/>
      <c r="F87" s="3"/>
      <c r="G87" s="3"/>
      <c r="H87" s="3"/>
      <c r="I87" s="3"/>
      <c r="J87" s="3"/>
      <c r="K87" s="86"/>
      <c r="L87" s="86"/>
      <c r="M87" s="86"/>
      <c r="N87" s="123"/>
      <c r="O87" s="123"/>
      <c r="P87" s="86"/>
      <c r="Q87" s="86"/>
      <c r="R87" s="86"/>
      <c r="S87" s="86"/>
      <c r="T87" s="86"/>
      <c r="U87" s="86"/>
      <c r="V87" s="3"/>
      <c r="W87" s="3"/>
      <c r="X87" s="3"/>
      <c r="Y87" s="3"/>
      <c r="Z87" s="3"/>
    </row>
    <row r="88" spans="1:26" s="8" customFormat="1" x14ac:dyDescent="0.15">
      <c r="A88" s="3"/>
      <c r="B88" s="3"/>
      <c r="C88" s="3"/>
      <c r="D88" s="3"/>
      <c r="E88" s="3"/>
      <c r="F88" s="3"/>
      <c r="G88" s="3"/>
      <c r="H88" s="3"/>
      <c r="I88" s="3"/>
      <c r="J88" s="3"/>
      <c r="K88" s="86"/>
      <c r="L88" s="86"/>
      <c r="M88" s="86"/>
      <c r="N88" s="123"/>
      <c r="O88" s="123"/>
      <c r="P88" s="86"/>
      <c r="Q88" s="86"/>
      <c r="R88" s="86"/>
      <c r="S88" s="86"/>
      <c r="T88" s="86"/>
      <c r="U88" s="86"/>
      <c r="V88" s="3"/>
      <c r="W88" s="3"/>
      <c r="X88" s="3"/>
      <c r="Y88" s="3"/>
      <c r="Z88" s="3"/>
    </row>
    <row r="89" spans="1:26" s="8" customFormat="1" x14ac:dyDescent="0.15">
      <c r="A89" s="3"/>
      <c r="B89" s="3"/>
      <c r="C89" s="3"/>
      <c r="D89" s="3"/>
      <c r="E89" s="3"/>
      <c r="F89" s="3"/>
      <c r="G89" s="3"/>
      <c r="H89" s="3"/>
      <c r="I89" s="3"/>
      <c r="J89" s="3"/>
      <c r="K89" s="86"/>
      <c r="L89" s="86"/>
      <c r="M89" s="86"/>
      <c r="N89" s="123"/>
      <c r="O89" s="123"/>
      <c r="P89" s="86"/>
      <c r="Q89" s="86"/>
      <c r="R89" s="86"/>
      <c r="S89" s="86"/>
      <c r="T89" s="86"/>
      <c r="U89" s="86"/>
      <c r="V89" s="3"/>
      <c r="W89" s="3"/>
      <c r="X89" s="3"/>
      <c r="Y89" s="3"/>
      <c r="Z89" s="3"/>
    </row>
    <row r="90" spans="1:26" s="8" customFormat="1" x14ac:dyDescent="0.15">
      <c r="A90" s="3"/>
      <c r="B90" s="3"/>
      <c r="C90" s="3"/>
      <c r="D90" s="3"/>
      <c r="E90" s="3"/>
      <c r="F90" s="3"/>
      <c r="G90" s="3"/>
      <c r="H90" s="3"/>
      <c r="I90" s="3"/>
      <c r="J90" s="3"/>
      <c r="K90" s="86"/>
      <c r="L90" s="86"/>
      <c r="M90" s="86"/>
      <c r="N90" s="123"/>
      <c r="O90" s="123"/>
      <c r="P90" s="86"/>
      <c r="Q90" s="86"/>
      <c r="R90" s="86"/>
      <c r="S90" s="86"/>
      <c r="T90" s="86"/>
      <c r="U90" s="86"/>
      <c r="V90" s="3"/>
      <c r="W90" s="3"/>
      <c r="X90" s="3"/>
      <c r="Y90" s="3"/>
      <c r="Z90" s="3"/>
    </row>
    <row r="91" spans="1:26" s="8" customFormat="1" x14ac:dyDescent="0.15">
      <c r="A91" s="3"/>
      <c r="B91" s="3"/>
      <c r="C91" s="3"/>
      <c r="D91" s="3"/>
      <c r="E91" s="3"/>
      <c r="F91" s="3"/>
      <c r="G91" s="3"/>
      <c r="H91" s="3"/>
      <c r="I91" s="3"/>
      <c r="J91" s="3"/>
      <c r="K91" s="86"/>
      <c r="L91" s="86"/>
      <c r="M91" s="86"/>
      <c r="N91" s="123"/>
      <c r="O91" s="123"/>
      <c r="P91" s="86"/>
      <c r="Q91" s="86"/>
      <c r="R91" s="86"/>
      <c r="S91" s="86"/>
      <c r="T91" s="86"/>
      <c r="U91" s="86"/>
      <c r="V91" s="3"/>
      <c r="W91" s="3"/>
      <c r="X91" s="3"/>
      <c r="Y91" s="3"/>
      <c r="Z91" s="3"/>
    </row>
    <row r="92" spans="1:26" s="8" customFormat="1" x14ac:dyDescent="0.15">
      <c r="A92" s="3"/>
      <c r="B92" s="3"/>
      <c r="C92" s="3"/>
      <c r="D92" s="3"/>
      <c r="E92" s="3"/>
      <c r="F92" s="3"/>
      <c r="G92" s="3"/>
      <c r="H92" s="3"/>
      <c r="I92" s="3"/>
      <c r="J92" s="3"/>
      <c r="K92" s="86"/>
      <c r="L92" s="86"/>
      <c r="M92" s="86"/>
      <c r="N92" s="123"/>
      <c r="O92" s="123"/>
      <c r="P92" s="86"/>
      <c r="Q92" s="86"/>
      <c r="R92" s="86"/>
      <c r="S92" s="86"/>
      <c r="T92" s="86"/>
      <c r="U92" s="86"/>
      <c r="V92" s="3"/>
      <c r="W92" s="3"/>
      <c r="X92" s="3"/>
      <c r="Y92" s="3"/>
      <c r="Z92" s="3"/>
    </row>
    <row r="93" spans="1:26" s="8" customFormat="1" x14ac:dyDescent="0.15">
      <c r="A93" s="3"/>
      <c r="B93" s="3"/>
      <c r="C93" s="3"/>
      <c r="D93" s="3"/>
      <c r="E93" s="3"/>
      <c r="F93" s="3"/>
      <c r="G93" s="3"/>
      <c r="H93" s="3"/>
      <c r="I93" s="3"/>
      <c r="J93" s="3"/>
      <c r="K93" s="86"/>
      <c r="L93" s="86"/>
      <c r="M93" s="86"/>
      <c r="N93" s="123"/>
      <c r="O93" s="123"/>
      <c r="P93" s="86"/>
      <c r="Q93" s="86"/>
      <c r="R93" s="86"/>
      <c r="S93" s="86"/>
      <c r="T93" s="86"/>
      <c r="U93" s="86"/>
      <c r="V93" s="3"/>
      <c r="W93" s="3"/>
      <c r="X93" s="3"/>
      <c r="Y93" s="3"/>
      <c r="Z93" s="3"/>
    </row>
  </sheetData>
  <mergeCells count="46">
    <mergeCell ref="A1:J2"/>
    <mergeCell ref="D21:G31"/>
    <mergeCell ref="H4:J7"/>
    <mergeCell ref="H9:J17"/>
    <mergeCell ref="A4:B4"/>
    <mergeCell ref="C4:D4"/>
    <mergeCell ref="E4:F4"/>
    <mergeCell ref="A19:C20"/>
    <mergeCell ref="H22:I22"/>
    <mergeCell ref="D19:E20"/>
    <mergeCell ref="N50:O50"/>
    <mergeCell ref="N51:O51"/>
    <mergeCell ref="N52:O52"/>
    <mergeCell ref="N56:O56"/>
    <mergeCell ref="N57:O57"/>
    <mergeCell ref="N38:O38"/>
    <mergeCell ref="N39:O39"/>
    <mergeCell ref="N44:O44"/>
    <mergeCell ref="N45:O45"/>
    <mergeCell ref="N21:O22"/>
    <mergeCell ref="N32:O32"/>
    <mergeCell ref="N33:O33"/>
    <mergeCell ref="N34:O34"/>
    <mergeCell ref="D32:G37"/>
    <mergeCell ref="H56:I56"/>
    <mergeCell ref="H38:I38"/>
    <mergeCell ref="D56:G61"/>
    <mergeCell ref="D50:G55"/>
    <mergeCell ref="D44:G49"/>
    <mergeCell ref="D38:G43"/>
    <mergeCell ref="H51:I51"/>
    <mergeCell ref="H33:I33"/>
    <mergeCell ref="H34:I34"/>
    <mergeCell ref="K19:L19"/>
    <mergeCell ref="P19:P20"/>
    <mergeCell ref="M19:M20"/>
    <mergeCell ref="N19:N20"/>
    <mergeCell ref="H19:I20"/>
    <mergeCell ref="J19:J20"/>
    <mergeCell ref="P6:Q6"/>
    <mergeCell ref="P7:Q7"/>
    <mergeCell ref="P8:Q8"/>
    <mergeCell ref="P11:T15"/>
    <mergeCell ref="T19:U19"/>
    <mergeCell ref="S19:S20"/>
    <mergeCell ref="Q19:R20"/>
  </mergeCells>
  <pageMargins left="0.70866141732283472" right="0.70866141732283472" top="0.74803149606299213" bottom="0.74803149606299213" header="0.31496062992125984" footer="0.31496062992125984"/>
  <pageSetup paperSize="9" scale="32" orientation="landscape" r:id="rId1"/>
  <headerFooter>
    <oddHeader>&amp;L&amp;F&amp;R&amp;A</oddHeader>
    <oddFooter>&amp;L&amp;D&amp;RPagina &amp;P van &amp;N</oddFooter>
  </headerFooter>
  <ignoredErrors>
    <ignoredError sqref="D6:D7 E6:E7"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09BC9-0710-44E2-969E-D9D78CAC0D2A}">
  <sheetPr>
    <tabColor theme="6"/>
    <pageSetUpPr fitToPage="1"/>
  </sheetPr>
  <dimension ref="A1:Z146"/>
  <sheetViews>
    <sheetView zoomScaleNormal="100" zoomScaleSheetLayoutView="98" workbookViewId="0"/>
  </sheetViews>
  <sheetFormatPr defaultColWidth="9.09765625" defaultRowHeight="10.5" x14ac:dyDescent="0.15"/>
  <cols>
    <col min="1" max="1" width="9.09765625" style="1"/>
    <col min="2" max="2" width="10.3984375" style="1" customWidth="1"/>
    <col min="3" max="3" width="11.59765625" style="1" customWidth="1"/>
    <col min="4" max="7" width="13.59765625" style="1" customWidth="1"/>
    <col min="8" max="10" width="11.59765625" style="1" customWidth="1"/>
    <col min="11" max="12" width="11.59765625" style="79" customWidth="1"/>
    <col min="13" max="13" width="13.09765625" style="79" bestFit="1" customWidth="1"/>
    <col min="14" max="15" width="19.59765625" style="79" customWidth="1"/>
    <col min="16" max="21" width="11.59765625" style="79" customWidth="1"/>
    <col min="22" max="16384" width="9.09765625" style="3"/>
  </cols>
  <sheetData>
    <row r="1" spans="1:21" s="488" customFormat="1" ht="14.1" customHeight="1" x14ac:dyDescent="0.25">
      <c r="A1" s="605" t="str" cm="1">
        <f t="array" aca="1" ref="A1" ca="1">MID(CELL("bestandsnaam",$A$1),FIND("]",CELL("bestandsnaam",$A$1))+1,31)</f>
        <v>9. Libellenkartering</v>
      </c>
      <c r="B1" s="605"/>
      <c r="C1" s="605"/>
      <c r="D1" s="605"/>
      <c r="E1" s="605"/>
      <c r="F1" s="605"/>
      <c r="G1" s="605"/>
      <c r="H1" s="605"/>
      <c r="I1" s="605"/>
      <c r="J1" s="605"/>
      <c r="K1" s="489"/>
      <c r="L1" s="489"/>
      <c r="M1" s="489"/>
      <c r="N1" s="489"/>
      <c r="O1" s="489"/>
      <c r="P1" s="489"/>
      <c r="Q1" s="489"/>
      <c r="R1" s="489"/>
      <c r="S1" s="489"/>
      <c r="T1" s="489"/>
      <c r="U1" s="489"/>
    </row>
    <row r="2" spans="1:21" s="488" customFormat="1" ht="14.1" customHeight="1" x14ac:dyDescent="0.25">
      <c r="A2" s="605"/>
      <c r="B2" s="605"/>
      <c r="C2" s="605"/>
      <c r="D2" s="605"/>
      <c r="E2" s="605"/>
      <c r="F2" s="605"/>
      <c r="G2" s="605"/>
      <c r="H2" s="605"/>
      <c r="I2" s="605"/>
      <c r="J2" s="605"/>
      <c r="K2" s="489"/>
      <c r="L2" s="489"/>
      <c r="M2" s="489"/>
      <c r="N2" s="489"/>
      <c r="O2" s="489"/>
      <c r="P2" s="489"/>
      <c r="Q2" s="489"/>
      <c r="R2" s="489"/>
      <c r="S2" s="489"/>
      <c r="T2" s="489"/>
      <c r="U2" s="489"/>
    </row>
    <row r="3" spans="1:21" ht="12.95" customHeight="1" x14ac:dyDescent="0.15">
      <c r="A3" s="525" t="s">
        <v>237</v>
      </c>
      <c r="B3" s="61"/>
      <c r="C3" s="61"/>
      <c r="D3" s="60"/>
      <c r="E3" s="60"/>
      <c r="F3" s="60"/>
      <c r="G3" s="60"/>
      <c r="H3" s="61"/>
      <c r="I3" s="61"/>
      <c r="J3" s="61"/>
      <c r="K3" s="83"/>
      <c r="L3" s="83"/>
      <c r="M3" s="83"/>
      <c r="N3" s="83"/>
      <c r="O3" s="83"/>
      <c r="P3" s="83"/>
      <c r="Q3" s="83"/>
      <c r="R3" s="83"/>
      <c r="S3" s="83"/>
      <c r="T3" s="83"/>
      <c r="U3" s="83"/>
    </row>
    <row r="4" spans="1:21" ht="12.95" customHeight="1" x14ac:dyDescent="0.15">
      <c r="A4" s="574" t="s">
        <v>219</v>
      </c>
      <c r="B4" s="575"/>
      <c r="C4" s="743" t="s">
        <v>28</v>
      </c>
      <c r="D4" s="745"/>
      <c r="E4" s="743" t="s">
        <v>29</v>
      </c>
      <c r="F4" s="745"/>
      <c r="G4" s="83"/>
      <c r="H4" s="755" t="s">
        <v>304</v>
      </c>
      <c r="I4" s="756"/>
      <c r="J4" s="757"/>
      <c r="K4" s="83"/>
      <c r="L4" s="565" t="s">
        <v>354</v>
      </c>
      <c r="M4" s="569"/>
      <c r="N4" s="569"/>
      <c r="O4" s="552"/>
      <c r="P4" s="566" t="s">
        <v>355</v>
      </c>
      <c r="Q4" s="561"/>
      <c r="R4" s="561"/>
      <c r="S4" s="561"/>
      <c r="T4" s="561"/>
      <c r="U4" s="553"/>
    </row>
    <row r="5" spans="1:21" ht="12.95" customHeight="1" x14ac:dyDescent="0.15">
      <c r="A5" s="576"/>
      <c r="B5" s="577"/>
      <c r="C5" s="285" t="s">
        <v>220</v>
      </c>
      <c r="D5" s="286" t="s">
        <v>268</v>
      </c>
      <c r="E5" s="285" t="s">
        <v>242</v>
      </c>
      <c r="F5" s="286" t="s">
        <v>268</v>
      </c>
      <c r="G5" s="83"/>
      <c r="H5" s="758"/>
      <c r="I5" s="759"/>
      <c r="J5" s="760"/>
      <c r="K5" s="83"/>
      <c r="L5" s="554"/>
      <c r="M5" s="549"/>
      <c r="N5" s="549"/>
      <c r="O5" s="549"/>
      <c r="P5" s="547"/>
      <c r="Q5" s="572"/>
      <c r="R5" s="573" t="s">
        <v>242</v>
      </c>
      <c r="S5" s="548" t="s">
        <v>221</v>
      </c>
      <c r="T5" s="551"/>
      <c r="U5" s="555"/>
    </row>
    <row r="6" spans="1:21" ht="12.95" customHeight="1" x14ac:dyDescent="0.15">
      <c r="A6" s="526" t="s">
        <v>243</v>
      </c>
      <c r="B6" s="81" t="s">
        <v>244</v>
      </c>
      <c r="C6" s="167">
        <f>SUM($T$33,$T$56,$T$57)</f>
        <v>4.3728840638297868</v>
      </c>
      <c r="D6" s="167">
        <f>SUM($U$33,$U$56,$U$57)</f>
        <v>4.3728840638297868</v>
      </c>
      <c r="E6" s="167">
        <f>SUM($T$33,$T$56,$T$57)</f>
        <v>4.3728840638297868</v>
      </c>
      <c r="F6" s="168">
        <f>SUM($U$33,$U$56,$U$57)</f>
        <v>4.3728840638297868</v>
      </c>
      <c r="G6" s="83"/>
      <c r="H6" s="758"/>
      <c r="I6" s="759"/>
      <c r="J6" s="760"/>
      <c r="K6" s="83"/>
      <c r="L6" s="554"/>
      <c r="M6" s="549"/>
      <c r="N6" s="549"/>
      <c r="O6" s="549"/>
      <c r="P6" s="764" t="s">
        <v>245</v>
      </c>
      <c r="Q6" s="765"/>
      <c r="R6" s="570">
        <f>C6/C$9</f>
        <v>6.4088182701860286E-2</v>
      </c>
      <c r="S6" s="570">
        <f>D6/D$9</f>
        <v>7.3044739589243943E-2</v>
      </c>
      <c r="T6" s="551"/>
      <c r="U6" s="555"/>
    </row>
    <row r="7" spans="1:21" ht="12.95" customHeight="1" x14ac:dyDescent="0.15">
      <c r="A7" s="81" t="s">
        <v>243</v>
      </c>
      <c r="B7" s="81" t="s">
        <v>166</v>
      </c>
      <c r="C7" s="167">
        <f>SUM($T$32,$T$34,$T$50,$T$51,$T$52)</f>
        <v>25.12032</v>
      </c>
      <c r="D7" s="167">
        <f>SUM($U$32,$U$34,$U$50,$U$51,$U$52)</f>
        <v>25.12032</v>
      </c>
      <c r="E7" s="167">
        <f>SUM($T$32,$T$34,$T$50,$T$51,$T$52)</f>
        <v>25.12032</v>
      </c>
      <c r="F7" s="168">
        <f>SUM($U$32,$U$34,$U$50,$U$51,$U$52)</f>
        <v>25.12032</v>
      </c>
      <c r="G7" s="83"/>
      <c r="H7" s="761"/>
      <c r="I7" s="762"/>
      <c r="J7" s="763"/>
      <c r="K7" s="83"/>
      <c r="L7" s="554"/>
      <c r="M7" s="549"/>
      <c r="N7" s="549"/>
      <c r="O7" s="549"/>
      <c r="P7" s="764" t="s">
        <v>246</v>
      </c>
      <c r="Q7" s="765"/>
      <c r="R7" s="570">
        <f t="shared" ref="R7:S8" si="0">C7/C$9</f>
        <v>0.36815877900939026</v>
      </c>
      <c r="S7" s="570">
        <f t="shared" si="0"/>
        <v>0.41961030889793555</v>
      </c>
      <c r="T7" s="551"/>
      <c r="U7" s="555"/>
    </row>
    <row r="8" spans="1:21" ht="12.95" customHeight="1" x14ac:dyDescent="0.15">
      <c r="A8" s="81" t="s">
        <v>307</v>
      </c>
      <c r="B8" s="81" t="s">
        <v>248</v>
      </c>
      <c r="C8" s="167">
        <f>SUM(T38,T39)</f>
        <v>38.739095238095267</v>
      </c>
      <c r="D8" s="167">
        <f>SUM(U38,U39)</f>
        <v>30.37262732142861</v>
      </c>
      <c r="E8" s="167">
        <f>C8+SUM(T44,T45)</f>
        <v>67.793416666666715</v>
      </c>
      <c r="F8" s="586">
        <f>D8+SUM(U44,U45)</f>
        <v>53.152097812500067</v>
      </c>
      <c r="G8" s="83"/>
      <c r="H8" s="83"/>
      <c r="I8" s="83"/>
      <c r="J8" s="83"/>
      <c r="K8" s="83"/>
      <c r="L8" s="554"/>
      <c r="M8" s="549"/>
      <c r="N8" s="549"/>
      <c r="O8" s="549"/>
      <c r="P8" s="764" t="s">
        <v>308</v>
      </c>
      <c r="Q8" s="765"/>
      <c r="R8" s="570">
        <f t="shared" si="0"/>
        <v>0.56775303828874946</v>
      </c>
      <c r="S8" s="570">
        <f t="shared" si="0"/>
        <v>0.50734495151282055</v>
      </c>
      <c r="T8" s="551"/>
      <c r="U8" s="555"/>
    </row>
    <row r="9" spans="1:21" ht="12.95" customHeight="1" x14ac:dyDescent="0.15">
      <c r="A9" s="527" t="s">
        <v>311</v>
      </c>
      <c r="B9" s="278"/>
      <c r="C9" s="271">
        <f>SUM(C6:C8)</f>
        <v>68.232299301925053</v>
      </c>
      <c r="D9" s="271">
        <f>SUM(D6:D8)</f>
        <v>59.865831385258396</v>
      </c>
      <c r="E9" s="271">
        <f>SUM(E6:E8)</f>
        <v>97.286620730496509</v>
      </c>
      <c r="F9" s="174">
        <f>SUM(F6:F8)</f>
        <v>82.645301876329853</v>
      </c>
      <c r="G9" s="60"/>
      <c r="H9" s="779" t="s">
        <v>356</v>
      </c>
      <c r="I9" s="780"/>
      <c r="J9" s="781"/>
      <c r="K9" s="83"/>
      <c r="L9" s="554"/>
      <c r="M9" s="549"/>
      <c r="N9" s="549"/>
      <c r="O9" s="549"/>
      <c r="P9" s="549"/>
      <c r="Q9" s="550"/>
      <c r="R9" s="550"/>
      <c r="S9" s="550"/>
      <c r="T9" s="551"/>
      <c r="U9" s="555"/>
    </row>
    <row r="10" spans="1:21" ht="12.95" customHeight="1" x14ac:dyDescent="0.15">
      <c r="A10" s="345" t="s">
        <v>257</v>
      </c>
      <c r="B10" s="80"/>
      <c r="C10" s="97"/>
      <c r="D10" s="97"/>
      <c r="E10" s="97"/>
      <c r="F10" s="97"/>
      <c r="G10" s="60"/>
      <c r="H10" s="782"/>
      <c r="I10" s="783"/>
      <c r="J10" s="784"/>
      <c r="K10" s="83"/>
      <c r="L10" s="554"/>
      <c r="M10" s="549"/>
      <c r="N10" s="549"/>
      <c r="O10" s="549"/>
      <c r="P10" s="564" t="s">
        <v>253</v>
      </c>
      <c r="Q10" s="550"/>
      <c r="R10" s="550"/>
      <c r="S10" s="550"/>
      <c r="T10" s="551"/>
      <c r="U10" s="555"/>
    </row>
    <row r="11" spans="1:21" ht="12.95" customHeight="1" x14ac:dyDescent="0.15">
      <c r="A11" s="81"/>
      <c r="B11" s="80"/>
      <c r="C11" s="97"/>
      <c r="D11" s="97"/>
      <c r="E11" s="97"/>
      <c r="F11" s="97"/>
      <c r="G11" s="60"/>
      <c r="H11" s="782"/>
      <c r="I11" s="783"/>
      <c r="J11" s="784"/>
      <c r="K11" s="83"/>
      <c r="L11" s="554"/>
      <c r="M11" s="549"/>
      <c r="N11" s="549"/>
      <c r="O11" s="549"/>
      <c r="P11" s="788" t="s">
        <v>255</v>
      </c>
      <c r="Q11" s="788"/>
      <c r="R11" s="788"/>
      <c r="S11" s="788"/>
      <c r="T11" s="788"/>
      <c r="U11" s="555"/>
    </row>
    <row r="12" spans="1:21" ht="15" customHeight="1" x14ac:dyDescent="0.15">
      <c r="A12" s="81"/>
      <c r="B12" s="80"/>
      <c r="C12" s="97"/>
      <c r="D12" s="97"/>
      <c r="E12" s="97"/>
      <c r="F12" s="97"/>
      <c r="G12" s="60"/>
      <c r="H12" s="782"/>
      <c r="I12" s="783"/>
      <c r="J12" s="784"/>
      <c r="K12" s="83"/>
      <c r="L12" s="554"/>
      <c r="M12" s="549"/>
      <c r="N12" s="549"/>
      <c r="O12" s="549"/>
      <c r="P12" s="788"/>
      <c r="Q12" s="788"/>
      <c r="R12" s="788"/>
      <c r="S12" s="788"/>
      <c r="T12" s="788"/>
      <c r="U12" s="555"/>
    </row>
    <row r="13" spans="1:21" ht="12.95" customHeight="1" x14ac:dyDescent="0.15">
      <c r="A13" s="81"/>
      <c r="B13" s="80"/>
      <c r="C13" s="97"/>
      <c r="D13" s="97"/>
      <c r="E13" s="97"/>
      <c r="F13" s="97"/>
      <c r="G13" s="60"/>
      <c r="H13" s="782"/>
      <c r="I13" s="783"/>
      <c r="J13" s="784"/>
      <c r="K13" s="83"/>
      <c r="L13" s="554"/>
      <c r="M13" s="549"/>
      <c r="N13" s="549"/>
      <c r="O13" s="549"/>
      <c r="P13" s="788"/>
      <c r="Q13" s="788"/>
      <c r="R13" s="788"/>
      <c r="S13" s="788"/>
      <c r="T13" s="788"/>
      <c r="U13" s="555"/>
    </row>
    <row r="14" spans="1:21" ht="12.95" customHeight="1" x14ac:dyDescent="0.15">
      <c r="A14" s="81"/>
      <c r="B14" s="80"/>
      <c r="C14" s="97"/>
      <c r="D14" s="97"/>
      <c r="E14" s="97"/>
      <c r="F14" s="97"/>
      <c r="G14" s="60"/>
      <c r="H14" s="782"/>
      <c r="I14" s="783"/>
      <c r="J14" s="784"/>
      <c r="K14" s="83"/>
      <c r="L14" s="554"/>
      <c r="M14" s="549"/>
      <c r="N14" s="549"/>
      <c r="O14" s="549"/>
      <c r="P14" s="788"/>
      <c r="Q14" s="788"/>
      <c r="R14" s="788"/>
      <c r="S14" s="788"/>
      <c r="T14" s="788"/>
      <c r="U14" s="555"/>
    </row>
    <row r="15" spans="1:21" ht="12.95" customHeight="1" x14ac:dyDescent="0.15">
      <c r="A15" s="81"/>
      <c r="B15" s="80"/>
      <c r="C15" s="97"/>
      <c r="D15" s="97"/>
      <c r="E15" s="97"/>
      <c r="F15" s="97"/>
      <c r="G15" s="60"/>
      <c r="H15" s="782"/>
      <c r="I15" s="783"/>
      <c r="J15" s="784"/>
      <c r="K15" s="83"/>
      <c r="L15" s="554"/>
      <c r="M15" s="549"/>
      <c r="N15" s="549"/>
      <c r="O15" s="549"/>
      <c r="P15" s="788"/>
      <c r="Q15" s="788"/>
      <c r="R15" s="788"/>
      <c r="S15" s="788"/>
      <c r="T15" s="788"/>
      <c r="U15" s="555"/>
    </row>
    <row r="16" spans="1:21" ht="12.95" customHeight="1" x14ac:dyDescent="0.15">
      <c r="A16" s="81"/>
      <c r="B16" s="80"/>
      <c r="C16" s="97"/>
      <c r="D16" s="97"/>
      <c r="E16" s="97"/>
      <c r="F16" s="97"/>
      <c r="G16" s="60"/>
      <c r="H16" s="782"/>
      <c r="I16" s="783"/>
      <c r="J16" s="784"/>
      <c r="K16" s="83"/>
      <c r="L16" s="554"/>
      <c r="M16" s="549"/>
      <c r="N16" s="549"/>
      <c r="O16" s="549"/>
      <c r="P16" s="549"/>
      <c r="Q16" s="550"/>
      <c r="R16" s="550"/>
      <c r="S16" s="550"/>
      <c r="T16" s="551"/>
      <c r="U16" s="555"/>
    </row>
    <row r="17" spans="1:26" ht="12.95" customHeight="1" x14ac:dyDescent="0.15">
      <c r="A17" s="81"/>
      <c r="B17" s="80"/>
      <c r="C17" s="97"/>
      <c r="D17" s="97"/>
      <c r="E17" s="97"/>
      <c r="F17" s="97"/>
      <c r="G17" s="60"/>
      <c r="H17" s="785"/>
      <c r="I17" s="786"/>
      <c r="J17" s="787"/>
      <c r="K17" s="83"/>
      <c r="L17" s="556"/>
      <c r="M17" s="557"/>
      <c r="N17" s="557"/>
      <c r="O17" s="557"/>
      <c r="P17" s="557"/>
      <c r="Q17" s="558"/>
      <c r="R17" s="558"/>
      <c r="S17" s="558"/>
      <c r="T17" s="559"/>
      <c r="U17" s="560"/>
    </row>
    <row r="18" spans="1:26" ht="12.95" customHeight="1" x14ac:dyDescent="0.15">
      <c r="A18" s="143" t="s">
        <v>258</v>
      </c>
      <c r="B18" s="61"/>
      <c r="C18" s="61"/>
      <c r="D18" s="60"/>
      <c r="E18" s="60"/>
      <c r="F18" s="60"/>
      <c r="G18" s="60"/>
      <c r="H18" s="61"/>
      <c r="I18" s="61"/>
      <c r="J18" s="61"/>
      <c r="K18" s="83"/>
      <c r="L18" s="83"/>
      <c r="M18" s="83"/>
      <c r="N18" s="83"/>
      <c r="O18" s="83"/>
      <c r="P18" s="83"/>
      <c r="Q18" s="83"/>
      <c r="R18" s="83"/>
      <c r="S18" s="83"/>
      <c r="T18" s="83"/>
      <c r="U18" s="83"/>
    </row>
    <row r="19" spans="1:26" s="4" customFormat="1" ht="12.95" customHeight="1" x14ac:dyDescent="0.2">
      <c r="A19" s="766" t="s">
        <v>259</v>
      </c>
      <c r="B19" s="767"/>
      <c r="C19" s="768"/>
      <c r="D19" s="823" t="s">
        <v>2</v>
      </c>
      <c r="E19" s="177"/>
      <c r="F19" s="177"/>
      <c r="G19" s="177"/>
      <c r="H19" s="892" t="s">
        <v>260</v>
      </c>
      <c r="I19" s="893"/>
      <c r="J19" s="893" t="s">
        <v>348</v>
      </c>
      <c r="K19" s="746" t="s">
        <v>262</v>
      </c>
      <c r="L19" s="885"/>
      <c r="M19" s="777" t="s">
        <v>263</v>
      </c>
      <c r="N19" s="746" t="s">
        <v>264</v>
      </c>
      <c r="O19" s="747"/>
      <c r="P19" s="777" t="s">
        <v>265</v>
      </c>
      <c r="Q19" s="746" t="s">
        <v>310</v>
      </c>
      <c r="R19" s="747"/>
      <c r="S19" s="777" t="s">
        <v>266</v>
      </c>
      <c r="T19" s="766" t="s">
        <v>267</v>
      </c>
      <c r="U19" s="768"/>
      <c r="W19" s="3"/>
      <c r="X19" s="3"/>
      <c r="Y19" s="3"/>
      <c r="Z19" s="3"/>
    </row>
    <row r="20" spans="1:26" s="9" customFormat="1" ht="12.95" customHeight="1" x14ac:dyDescent="0.15">
      <c r="A20" s="772"/>
      <c r="B20" s="773"/>
      <c r="C20" s="774"/>
      <c r="D20" s="905"/>
      <c r="E20" s="180"/>
      <c r="F20" s="180"/>
      <c r="G20" s="180"/>
      <c r="H20" s="894"/>
      <c r="I20" s="895"/>
      <c r="J20" s="906"/>
      <c r="K20" s="54" t="s">
        <v>220</v>
      </c>
      <c r="L20" s="54" t="s">
        <v>221</v>
      </c>
      <c r="M20" s="829"/>
      <c r="N20" s="748"/>
      <c r="O20" s="749"/>
      <c r="P20" s="829"/>
      <c r="Q20" s="748"/>
      <c r="R20" s="749"/>
      <c r="S20" s="829"/>
      <c r="T20" s="54" t="s">
        <v>242</v>
      </c>
      <c r="U20" s="88" t="s">
        <v>221</v>
      </c>
      <c r="W20" s="3"/>
      <c r="X20" s="3"/>
      <c r="Y20" s="3"/>
      <c r="Z20" s="3"/>
    </row>
    <row r="21" spans="1:26" ht="12.95" customHeight="1" x14ac:dyDescent="0.15">
      <c r="A21" s="3"/>
      <c r="B21" s="3"/>
      <c r="C21" s="6"/>
      <c r="D21" s="863" t="s">
        <v>269</v>
      </c>
      <c r="E21" s="863"/>
      <c r="F21" s="863"/>
      <c r="G21" s="863"/>
      <c r="H21" s="206" t="s">
        <v>270</v>
      </c>
      <c r="I21" s="212"/>
      <c r="J21" s="186" t="s">
        <v>357</v>
      </c>
      <c r="K21" s="129"/>
      <c r="L21" s="182"/>
      <c r="M21" s="102" t="s">
        <v>275</v>
      </c>
      <c r="N21" s="737" t="s">
        <v>271</v>
      </c>
      <c r="O21" s="738"/>
      <c r="P21" s="72">
        <v>1</v>
      </c>
      <c r="Q21" s="129"/>
      <c r="R21" s="144" t="str">
        <f>IF(Q21='3. Parameters kostprijsmodel'!$C$9,'3. Parameters kostprijsmodel'!$D$9,IF(Q21='3. Parameters kostprijsmodel'!$C$10,'3. Parameters kostprijsmodel'!$D$10,IF(Q21='3. Parameters kostprijsmodel'!$C$11,'3. Parameters kostprijsmodel'!$D$11,"")))</f>
        <v/>
      </c>
      <c r="S21" s="144" t="str">
        <f>IF(R21='3. Parameters kostprijsmodel'!$C$9,'3. Parameters kostprijsmodel'!$D$9,IF(R21='3. Parameters kostprijsmodel'!$C$10,'3. Parameters kostprijsmodel'!$D$10,IF(R21='3. Parameters kostprijsmodel'!$C$11,'3. Parameters kostprijsmodel'!$D$11,"")))</f>
        <v/>
      </c>
      <c r="T21" s="144" t="str">
        <f>IF($K21="","",K21*$P21*$R21+$S21)</f>
        <v/>
      </c>
      <c r="U21" s="144" t="str">
        <f>IF($L21="","",L21*$P21*$R21+$S21)</f>
        <v/>
      </c>
    </row>
    <row r="22" spans="1:26" ht="12.95" customHeight="1" x14ac:dyDescent="0.15">
      <c r="A22" s="3"/>
      <c r="B22" s="3"/>
      <c r="C22" s="6"/>
      <c r="D22" s="865"/>
      <c r="E22" s="865"/>
      <c r="F22" s="865"/>
      <c r="G22" s="865"/>
      <c r="H22" s="206" t="s">
        <v>358</v>
      </c>
      <c r="I22" s="231"/>
      <c r="J22" s="186" t="s">
        <v>357</v>
      </c>
      <c r="K22" s="176"/>
      <c r="L22" s="181"/>
      <c r="M22" s="77" t="s">
        <v>275</v>
      </c>
      <c r="N22" s="739"/>
      <c r="O22" s="740"/>
      <c r="P22" s="66">
        <v>1</v>
      </c>
      <c r="Q22" s="176"/>
      <c r="R22" s="151" t="str">
        <f>IF(Q22='3. Parameters kostprijsmodel'!$C$9,'3. Parameters kostprijsmodel'!$D$9,IF(Q22='3. Parameters kostprijsmodel'!$C$10,'3. Parameters kostprijsmodel'!$D$10,IF(Q22='3. Parameters kostprijsmodel'!$C$11,'3. Parameters kostprijsmodel'!$D$11,"")))</f>
        <v/>
      </c>
      <c r="S22" s="151" t="str">
        <f>IF(R22='3. Parameters kostprijsmodel'!$C$9,'3. Parameters kostprijsmodel'!$D$9,IF(R22='3. Parameters kostprijsmodel'!$C$10,'3. Parameters kostprijsmodel'!$D$10,IF(R22='3. Parameters kostprijsmodel'!$C$11,'3. Parameters kostprijsmodel'!$D$11,"")))</f>
        <v/>
      </c>
      <c r="T22" s="151" t="str">
        <f t="shared" ref="T22:T61" si="1">IF($K22="","",K22*$P22*$R22+$S22)</f>
        <v/>
      </c>
      <c r="U22" s="151" t="str">
        <f t="shared" ref="U22:U61" si="2">IF($L22="","",L22*$P22*$R22+$S22)</f>
        <v/>
      </c>
    </row>
    <row r="23" spans="1:26" ht="12.95" customHeight="1" x14ac:dyDescent="0.15">
      <c r="A23" s="3"/>
      <c r="B23" s="3"/>
      <c r="C23" s="6"/>
      <c r="D23" s="865"/>
      <c r="E23" s="865"/>
      <c r="F23" s="865"/>
      <c r="G23" s="865"/>
      <c r="H23" s="232"/>
      <c r="I23" s="231"/>
      <c r="J23" s="186"/>
      <c r="K23" s="66"/>
      <c r="L23" s="66"/>
      <c r="M23" s="66"/>
      <c r="N23" s="92"/>
      <c r="O23" s="259"/>
      <c r="P23" s="66"/>
      <c r="Q23" s="66"/>
      <c r="R23" s="146" t="str">
        <f>IF(Q23='3. Parameters kostprijsmodel'!$C$9,'3. Parameters kostprijsmodel'!$D$9,IF(Q23='3. Parameters kostprijsmodel'!$C$10,'3. Parameters kostprijsmodel'!$D$10,IF(Q23='3. Parameters kostprijsmodel'!$C$11,'3. Parameters kostprijsmodel'!$D$11,"")))</f>
        <v/>
      </c>
      <c r="S23" s="146"/>
      <c r="T23" s="146" t="str">
        <f t="shared" si="1"/>
        <v/>
      </c>
      <c r="U23" s="146" t="str">
        <f t="shared" si="2"/>
        <v/>
      </c>
    </row>
    <row r="24" spans="1:26" ht="12.95" customHeight="1" x14ac:dyDescent="0.15">
      <c r="A24" s="3"/>
      <c r="B24" s="3"/>
      <c r="C24" s="6"/>
      <c r="D24" s="865"/>
      <c r="E24" s="865"/>
      <c r="F24" s="865"/>
      <c r="G24" s="865"/>
      <c r="H24" s="219"/>
      <c r="I24" s="204"/>
      <c r="J24" s="186"/>
      <c r="K24" s="66"/>
      <c r="L24" s="66"/>
      <c r="M24" s="66"/>
      <c r="N24" s="92"/>
      <c r="O24" s="259"/>
      <c r="P24" s="66"/>
      <c r="Q24" s="66"/>
      <c r="R24" s="146" t="str">
        <f>IF(Q24='3. Parameters kostprijsmodel'!$C$9,'3. Parameters kostprijsmodel'!$D$9,IF(Q24='3. Parameters kostprijsmodel'!$C$10,'3. Parameters kostprijsmodel'!$D$10,IF(Q24='3. Parameters kostprijsmodel'!$C$11,'3. Parameters kostprijsmodel'!$D$11,"")))</f>
        <v/>
      </c>
      <c r="S24" s="146"/>
      <c r="T24" s="146" t="str">
        <f t="shared" si="1"/>
        <v/>
      </c>
      <c r="U24" s="146" t="str">
        <f t="shared" si="2"/>
        <v/>
      </c>
    </row>
    <row r="25" spans="1:26" ht="12.95" customHeight="1" x14ac:dyDescent="0.15">
      <c r="A25" s="3"/>
      <c r="B25" s="3"/>
      <c r="C25" s="6"/>
      <c r="D25" s="865"/>
      <c r="E25" s="865"/>
      <c r="F25" s="865"/>
      <c r="G25" s="865"/>
      <c r="H25" s="206"/>
      <c r="I25" s="204"/>
      <c r="J25" s="186"/>
      <c r="K25" s="66"/>
      <c r="L25" s="66"/>
      <c r="M25" s="66"/>
      <c r="N25" s="92"/>
      <c r="O25" s="259"/>
      <c r="P25" s="66"/>
      <c r="Q25" s="66"/>
      <c r="R25" s="146" t="str">
        <f>IF(Q25='3. Parameters kostprijsmodel'!$C$9,'3. Parameters kostprijsmodel'!$D$9,IF(Q25='3. Parameters kostprijsmodel'!$C$10,'3. Parameters kostprijsmodel'!$D$10,IF(Q25='3. Parameters kostprijsmodel'!$C$11,'3. Parameters kostprijsmodel'!$D$11,"")))</f>
        <v/>
      </c>
      <c r="S25" s="146"/>
      <c r="T25" s="146" t="str">
        <f t="shared" si="1"/>
        <v/>
      </c>
      <c r="U25" s="146" t="str">
        <f t="shared" si="2"/>
        <v/>
      </c>
    </row>
    <row r="26" spans="1:26" ht="12.95" customHeight="1" x14ac:dyDescent="0.15">
      <c r="A26" s="3"/>
      <c r="B26" s="3"/>
      <c r="C26" s="6"/>
      <c r="D26" s="865"/>
      <c r="E26" s="865"/>
      <c r="F26" s="865"/>
      <c r="G26" s="865"/>
      <c r="H26" s="219"/>
      <c r="I26" s="235"/>
      <c r="J26" s="186"/>
      <c r="K26" s="66"/>
      <c r="L26" s="66"/>
      <c r="M26" s="66"/>
      <c r="N26" s="92"/>
      <c r="O26" s="259"/>
      <c r="P26" s="66"/>
      <c r="Q26" s="66"/>
      <c r="R26" s="146" t="str">
        <f>IF(Q26='3. Parameters kostprijsmodel'!$C$9,'3. Parameters kostprijsmodel'!$D$9,IF(Q26='3. Parameters kostprijsmodel'!$C$10,'3. Parameters kostprijsmodel'!$D$10,IF(Q26='3. Parameters kostprijsmodel'!$C$11,'3. Parameters kostprijsmodel'!$D$11,"")))</f>
        <v/>
      </c>
      <c r="S26" s="146"/>
      <c r="T26" s="146" t="str">
        <f t="shared" si="1"/>
        <v/>
      </c>
      <c r="U26" s="146" t="str">
        <f t="shared" si="2"/>
        <v/>
      </c>
    </row>
    <row r="27" spans="1:26" ht="12.95" customHeight="1" x14ac:dyDescent="0.15">
      <c r="A27" s="3"/>
      <c r="B27" s="3"/>
      <c r="C27" s="6"/>
      <c r="D27" s="865"/>
      <c r="E27" s="865"/>
      <c r="F27" s="865"/>
      <c r="G27" s="865"/>
      <c r="H27" s="219"/>
      <c r="I27" s="235"/>
      <c r="J27" s="186"/>
      <c r="K27" s="66"/>
      <c r="L27" s="92"/>
      <c r="M27" s="66"/>
      <c r="N27" s="92"/>
      <c r="O27" s="48"/>
      <c r="P27" s="66"/>
      <c r="Q27" s="66"/>
      <c r="R27" s="146"/>
      <c r="S27" s="146"/>
      <c r="T27" s="146"/>
      <c r="U27" s="146"/>
    </row>
    <row r="28" spans="1:26" ht="12.95" customHeight="1" x14ac:dyDescent="0.15">
      <c r="A28" s="3"/>
      <c r="B28" s="3"/>
      <c r="C28" s="6"/>
      <c r="D28" s="865"/>
      <c r="E28" s="865"/>
      <c r="F28" s="865"/>
      <c r="G28" s="865"/>
      <c r="H28" s="219"/>
      <c r="I28" s="235"/>
      <c r="J28" s="186"/>
      <c r="K28" s="66"/>
      <c r="L28" s="92"/>
      <c r="M28" s="66"/>
      <c r="N28" s="92"/>
      <c r="O28" s="48"/>
      <c r="P28" s="66"/>
      <c r="Q28" s="66"/>
      <c r="R28" s="146"/>
      <c r="S28" s="146"/>
      <c r="T28" s="146"/>
      <c r="U28" s="146"/>
    </row>
    <row r="29" spans="1:26" ht="12.95" customHeight="1" x14ac:dyDescent="0.15">
      <c r="A29" s="3"/>
      <c r="B29" s="3"/>
      <c r="C29" s="6"/>
      <c r="D29" s="865"/>
      <c r="E29" s="865"/>
      <c r="F29" s="865"/>
      <c r="G29" s="865"/>
      <c r="H29" s="219"/>
      <c r="I29" s="235"/>
      <c r="J29" s="186"/>
      <c r="K29" s="66"/>
      <c r="L29" s="92"/>
      <c r="M29" s="66"/>
      <c r="N29" s="92"/>
      <c r="O29" s="48"/>
      <c r="P29" s="66"/>
      <c r="Q29" s="66"/>
      <c r="R29" s="146"/>
      <c r="S29" s="146"/>
      <c r="T29" s="146"/>
      <c r="U29" s="146"/>
    </row>
    <row r="30" spans="1:26" ht="12.95" customHeight="1" x14ac:dyDescent="0.15">
      <c r="A30" s="3"/>
      <c r="B30" s="3"/>
      <c r="C30" s="6"/>
      <c r="D30" s="865"/>
      <c r="E30" s="865"/>
      <c r="F30" s="865"/>
      <c r="G30" s="865"/>
      <c r="H30" s="219"/>
      <c r="I30" s="235"/>
      <c r="J30" s="186"/>
      <c r="K30" s="48"/>
      <c r="L30" s="66"/>
      <c r="M30" s="66"/>
      <c r="N30" s="92"/>
      <c r="O30" s="48"/>
      <c r="P30" s="66"/>
      <c r="Q30" s="66"/>
      <c r="R30" s="146"/>
      <c r="S30" s="146"/>
      <c r="T30" s="146"/>
      <c r="U30" s="146"/>
    </row>
    <row r="31" spans="1:26" ht="12.95" customHeight="1" x14ac:dyDescent="0.15">
      <c r="A31" s="20"/>
      <c r="B31" s="20"/>
      <c r="C31" s="7"/>
      <c r="D31" s="888"/>
      <c r="E31" s="888"/>
      <c r="F31" s="888"/>
      <c r="G31" s="888"/>
      <c r="H31" s="233"/>
      <c r="I31" s="234"/>
      <c r="J31" s="190"/>
      <c r="K31" s="56"/>
      <c r="L31" s="176"/>
      <c r="M31" s="176"/>
      <c r="N31" s="181"/>
      <c r="O31" s="56"/>
      <c r="P31" s="176"/>
      <c r="Q31" s="176"/>
      <c r="R31" s="151"/>
      <c r="S31" s="151"/>
      <c r="T31" s="151"/>
      <c r="U31" s="151"/>
    </row>
    <row r="32" spans="1:26" ht="12.95" customHeight="1" x14ac:dyDescent="0.15">
      <c r="A32" s="19"/>
      <c r="B32" s="19"/>
      <c r="C32" s="19"/>
      <c r="D32" s="904" t="s">
        <v>331</v>
      </c>
      <c r="E32" s="863"/>
      <c r="F32" s="863"/>
      <c r="G32" s="864"/>
      <c r="H32" s="867" t="s">
        <v>332</v>
      </c>
      <c r="I32" s="868"/>
      <c r="J32" s="35" t="s">
        <v>166</v>
      </c>
      <c r="K32" s="258">
        <f>4/'3. Parameters kostprijsmodel'!$C$29</f>
        <v>1.6E-2</v>
      </c>
      <c r="L32" s="258">
        <f>4/'3. Parameters kostprijsmodel'!$C$29</f>
        <v>1.6E-2</v>
      </c>
      <c r="M32" s="67" t="s">
        <v>275</v>
      </c>
      <c r="N32" s="727" t="s">
        <v>276</v>
      </c>
      <c r="O32" s="728"/>
      <c r="P32" s="71">
        <v>1</v>
      </c>
      <c r="Q32" s="71" t="s">
        <v>167</v>
      </c>
      <c r="R32" s="156">
        <f>IF(Q32='3. Parameters kostprijsmodel'!$C$9,'3. Parameters kostprijsmodel'!$D$9,IF(Q32='3. Parameters kostprijsmodel'!$C$10,'3. Parameters kostprijsmodel'!$D$10,IF(Q32='3. Parameters kostprijsmodel'!$C$11,'3. Parameters kostprijsmodel'!$D$11,"")))</f>
        <v>91.68</v>
      </c>
      <c r="S32" s="156">
        <v>0</v>
      </c>
      <c r="T32" s="156">
        <f t="shared" si="1"/>
        <v>1.4668800000000002</v>
      </c>
      <c r="U32" s="156">
        <f t="shared" si="2"/>
        <v>1.4668800000000002</v>
      </c>
    </row>
    <row r="33" spans="1:21" ht="12.95" customHeight="1" x14ac:dyDescent="0.15">
      <c r="A33" s="3"/>
      <c r="B33" s="3"/>
      <c r="C33" s="3"/>
      <c r="D33" s="897"/>
      <c r="E33" s="865"/>
      <c r="F33" s="865"/>
      <c r="G33" s="866"/>
      <c r="H33" s="867" t="s">
        <v>333</v>
      </c>
      <c r="I33" s="868"/>
      <c r="J33" s="36" t="s">
        <v>171</v>
      </c>
      <c r="K33" s="258">
        <f>3.5/'3. Parameters kostprijsmodel'!$C$29</f>
        <v>1.4E-2</v>
      </c>
      <c r="L33" s="258">
        <f>3.5/'3. Parameters kostprijsmodel'!$C$29</f>
        <v>1.4E-2</v>
      </c>
      <c r="M33" s="67" t="s">
        <v>275</v>
      </c>
      <c r="N33" s="727" t="s">
        <v>276</v>
      </c>
      <c r="O33" s="728"/>
      <c r="P33" s="65">
        <v>1</v>
      </c>
      <c r="Q33" s="65" t="s">
        <v>172</v>
      </c>
      <c r="R33" s="157">
        <f>IF(Q33='3. Parameters kostprijsmodel'!$C$9,'3. Parameters kostprijsmodel'!$D$9,IF(Q33='3. Parameters kostprijsmodel'!$C$10,'3. Parameters kostprijsmodel'!$D$10,IF(Q33='3. Parameters kostprijsmodel'!$C$11,'3. Parameters kostprijsmodel'!$D$11,"")))</f>
        <v>66.255819148936169</v>
      </c>
      <c r="S33" s="157">
        <v>0</v>
      </c>
      <c r="T33" s="157">
        <f t="shared" si="1"/>
        <v>0.92758146808510633</v>
      </c>
      <c r="U33" s="157">
        <f t="shared" si="2"/>
        <v>0.92758146808510633</v>
      </c>
    </row>
    <row r="34" spans="1:21" ht="12.95" customHeight="1" x14ac:dyDescent="0.15">
      <c r="A34" s="3"/>
      <c r="B34" s="3"/>
      <c r="C34" s="3"/>
      <c r="D34" s="897"/>
      <c r="E34" s="865"/>
      <c r="F34" s="865"/>
      <c r="G34" s="866"/>
      <c r="H34" s="867" t="s">
        <v>333</v>
      </c>
      <c r="I34" s="868"/>
      <c r="J34" s="43" t="s">
        <v>166</v>
      </c>
      <c r="K34" s="258">
        <f>4.75/'3. Parameters kostprijsmodel'!$C$29</f>
        <v>1.9E-2</v>
      </c>
      <c r="L34" s="258">
        <f>4.75/'3. Parameters kostprijsmodel'!$C$29</f>
        <v>1.9E-2</v>
      </c>
      <c r="M34" s="103" t="s">
        <v>275</v>
      </c>
      <c r="N34" s="727" t="s">
        <v>276</v>
      </c>
      <c r="O34" s="728"/>
      <c r="P34" s="68">
        <v>1</v>
      </c>
      <c r="Q34" s="68" t="s">
        <v>167</v>
      </c>
      <c r="R34" s="158">
        <f>IF(Q34='3. Parameters kostprijsmodel'!$C$9,'3. Parameters kostprijsmodel'!$D$9,IF(Q34='3. Parameters kostprijsmodel'!$C$10,'3. Parameters kostprijsmodel'!$D$10,IF(Q34='3. Parameters kostprijsmodel'!$C$11,'3. Parameters kostprijsmodel'!$D$11,"")))</f>
        <v>91.68</v>
      </c>
      <c r="S34" s="158">
        <v>0</v>
      </c>
      <c r="T34" s="158">
        <f t="shared" si="1"/>
        <v>1.7419200000000001</v>
      </c>
      <c r="U34" s="158">
        <f t="shared" si="2"/>
        <v>1.7419200000000001</v>
      </c>
    </row>
    <row r="35" spans="1:21" ht="12.95" customHeight="1" x14ac:dyDescent="0.15">
      <c r="A35" s="3"/>
      <c r="B35" s="3"/>
      <c r="C35" s="3"/>
      <c r="D35" s="897"/>
      <c r="E35" s="865"/>
      <c r="F35" s="865"/>
      <c r="G35" s="866"/>
      <c r="H35" s="232"/>
      <c r="I35" s="231"/>
      <c r="J35" s="186"/>
      <c r="K35" s="66"/>
      <c r="L35" s="66"/>
      <c r="M35" s="66"/>
      <c r="N35" s="92"/>
      <c r="O35" s="259"/>
      <c r="P35" s="92"/>
      <c r="Q35" s="259"/>
      <c r="R35" s="146" t="str">
        <f>IF(Q35='3. Parameters kostprijsmodel'!$C$9,'3. Parameters kostprijsmodel'!$D$9,IF(Q35='3. Parameters kostprijsmodel'!$C$10,'3. Parameters kostprijsmodel'!$D$10,IF(Q35='3. Parameters kostprijsmodel'!$C$11,'3. Parameters kostprijsmodel'!$D$11,"")))</f>
        <v/>
      </c>
      <c r="S35" s="146"/>
      <c r="T35" s="146" t="str">
        <f t="shared" si="1"/>
        <v/>
      </c>
      <c r="U35" s="146" t="str">
        <f t="shared" si="2"/>
        <v/>
      </c>
    </row>
    <row r="36" spans="1:21" ht="12.95" customHeight="1" x14ac:dyDescent="0.15">
      <c r="A36" s="3"/>
      <c r="B36" s="3"/>
      <c r="C36" s="3"/>
      <c r="D36" s="897"/>
      <c r="E36" s="865"/>
      <c r="F36" s="865"/>
      <c r="G36" s="866"/>
      <c r="H36" s="206"/>
      <c r="I36" s="204"/>
      <c r="J36" s="186"/>
      <c r="K36" s="72"/>
      <c r="L36" s="72"/>
      <c r="M36" s="72"/>
      <c r="N36" s="92"/>
      <c r="O36" s="259"/>
      <c r="P36" s="92"/>
      <c r="Q36" s="259"/>
      <c r="R36" s="146" t="str">
        <f>IF(Q36='3. Parameters kostprijsmodel'!$C$9,'3. Parameters kostprijsmodel'!$D$9,IF(Q36='3. Parameters kostprijsmodel'!$C$10,'3. Parameters kostprijsmodel'!$D$10,IF(Q36='3. Parameters kostprijsmodel'!$C$11,'3. Parameters kostprijsmodel'!$D$11,"")))</f>
        <v/>
      </c>
      <c r="S36" s="146"/>
      <c r="T36" s="146" t="str">
        <f t="shared" si="1"/>
        <v/>
      </c>
      <c r="U36" s="146" t="str">
        <f t="shared" si="2"/>
        <v/>
      </c>
    </row>
    <row r="37" spans="1:21" ht="12.95" customHeight="1" x14ac:dyDescent="0.15">
      <c r="A37" s="20"/>
      <c r="B37" s="20"/>
      <c r="C37" s="20"/>
      <c r="D37" s="898"/>
      <c r="E37" s="888"/>
      <c r="F37" s="888"/>
      <c r="G37" s="889"/>
      <c r="H37" s="222"/>
      <c r="I37" s="214"/>
      <c r="J37" s="190"/>
      <c r="K37" s="176"/>
      <c r="L37" s="176"/>
      <c r="M37" s="176"/>
      <c r="N37" s="181"/>
      <c r="O37" s="253"/>
      <c r="P37" s="181"/>
      <c r="Q37" s="253"/>
      <c r="R37" s="151" t="str">
        <f>IF(Q37='3. Parameters kostprijsmodel'!$C$9,'3. Parameters kostprijsmodel'!$D$9,IF(Q37='3. Parameters kostprijsmodel'!$C$10,'3. Parameters kostprijsmodel'!$D$10,IF(Q37='3. Parameters kostprijsmodel'!$C$11,'3. Parameters kostprijsmodel'!$D$11,"")))</f>
        <v/>
      </c>
      <c r="S37" s="151"/>
      <c r="T37" s="151" t="str">
        <f t="shared" si="1"/>
        <v/>
      </c>
      <c r="U37" s="151" t="str">
        <f t="shared" si="2"/>
        <v/>
      </c>
    </row>
    <row r="38" spans="1:21" ht="12.95" customHeight="1" x14ac:dyDescent="0.15">
      <c r="A38" s="19"/>
      <c r="B38" s="19"/>
      <c r="C38" s="19"/>
      <c r="D38" s="899" t="s">
        <v>349</v>
      </c>
      <c r="E38" s="859"/>
      <c r="F38" s="859"/>
      <c r="G38" s="860"/>
      <c r="H38" s="902" t="s">
        <v>314</v>
      </c>
      <c r="I38" s="903"/>
      <c r="J38" s="191" t="s">
        <v>166</v>
      </c>
      <c r="K38" s="258">
        <v>0.25476190476190497</v>
      </c>
      <c r="L38" s="258">
        <v>0.19974107142857167</v>
      </c>
      <c r="M38" s="67" t="s">
        <v>275</v>
      </c>
      <c r="N38" s="727" t="s">
        <v>282</v>
      </c>
      <c r="O38" s="728"/>
      <c r="P38" s="504">
        <v>2</v>
      </c>
      <c r="Q38" s="256" t="s">
        <v>169</v>
      </c>
      <c r="R38" s="157">
        <f>IF(Q38='3. Parameters kostprijsmodel'!$C$9,'3. Parameters kostprijsmodel'!$D$9,IF(Q38='3. Parameters kostprijsmodel'!$C$10,'3. Parameters kostprijsmodel'!$D$10,IF(Q38='3. Parameters kostprijsmodel'!$C$11,'3. Parameters kostprijsmodel'!$D$11,"")))</f>
        <v>76.03</v>
      </c>
      <c r="S38" s="157">
        <v>0</v>
      </c>
      <c r="T38" s="157">
        <f t="shared" si="1"/>
        <v>38.739095238095267</v>
      </c>
      <c r="U38" s="157">
        <f>IF($L38="","",L38*$P38*$R38+$S38)</f>
        <v>30.37262732142861</v>
      </c>
    </row>
    <row r="39" spans="1:21" ht="12.95" customHeight="1" x14ac:dyDescent="0.15">
      <c r="A39" s="3"/>
      <c r="B39" s="3"/>
      <c r="C39" s="3"/>
      <c r="D39" s="900"/>
      <c r="E39" s="861"/>
      <c r="F39" s="861"/>
      <c r="G39" s="862"/>
      <c r="H39" s="236" t="s">
        <v>315</v>
      </c>
      <c r="I39" s="237"/>
      <c r="J39" s="191" t="s">
        <v>166</v>
      </c>
      <c r="K39" s="258">
        <v>0</v>
      </c>
      <c r="L39" s="258">
        <v>0</v>
      </c>
      <c r="M39" s="67" t="s">
        <v>275</v>
      </c>
      <c r="N39" s="727" t="s">
        <v>282</v>
      </c>
      <c r="O39" s="728"/>
      <c r="P39" s="504">
        <v>1</v>
      </c>
      <c r="Q39" s="256" t="s">
        <v>169</v>
      </c>
      <c r="R39" s="157">
        <f>IF(Q39='3. Parameters kostprijsmodel'!$C$9,'3. Parameters kostprijsmodel'!$D$9,IF(Q39='3. Parameters kostprijsmodel'!$C$10,'3. Parameters kostprijsmodel'!$D$10,IF(Q39='3. Parameters kostprijsmodel'!$C$11,'3. Parameters kostprijsmodel'!$D$11,"")))</f>
        <v>76.03</v>
      </c>
      <c r="S39" s="157">
        <v>0</v>
      </c>
      <c r="T39" s="157">
        <f t="shared" si="1"/>
        <v>0</v>
      </c>
      <c r="U39" s="157">
        <f t="shared" si="2"/>
        <v>0</v>
      </c>
    </row>
    <row r="40" spans="1:21" ht="12.95" customHeight="1" x14ac:dyDescent="0.15">
      <c r="A40" s="3"/>
      <c r="B40" s="3"/>
      <c r="C40" s="3"/>
      <c r="D40" s="900"/>
      <c r="E40" s="861"/>
      <c r="F40" s="861"/>
      <c r="G40" s="862"/>
      <c r="H40" s="219"/>
      <c r="I40" s="235"/>
      <c r="J40" s="186"/>
      <c r="K40" s="66"/>
      <c r="L40" s="66"/>
      <c r="M40" s="66"/>
      <c r="N40" s="92"/>
      <c r="O40" s="259"/>
      <c r="P40" s="92"/>
      <c r="Q40" s="259"/>
      <c r="R40" s="146" t="str">
        <f>IF(Q40='3. Parameters kostprijsmodel'!$C$9,'3. Parameters kostprijsmodel'!$D$9,IF(Q40='3. Parameters kostprijsmodel'!$C$10,'3. Parameters kostprijsmodel'!$D$10,IF(Q40='3. Parameters kostprijsmodel'!$C$11,'3. Parameters kostprijsmodel'!$D$11,"")))</f>
        <v/>
      </c>
      <c r="S40" s="146"/>
      <c r="T40" s="146" t="str">
        <f t="shared" si="1"/>
        <v/>
      </c>
      <c r="U40" s="146" t="str">
        <f t="shared" si="2"/>
        <v/>
      </c>
    </row>
    <row r="41" spans="1:21" ht="12.95" customHeight="1" x14ac:dyDescent="0.15">
      <c r="A41" s="3"/>
      <c r="B41" s="3"/>
      <c r="C41" s="3"/>
      <c r="D41" s="900"/>
      <c r="E41" s="861"/>
      <c r="F41" s="861"/>
      <c r="G41" s="862"/>
      <c r="H41" s="219"/>
      <c r="I41" s="235"/>
      <c r="J41" s="186"/>
      <c r="K41" s="72"/>
      <c r="L41" s="72"/>
      <c r="M41" s="72"/>
      <c r="N41" s="92"/>
      <c r="O41" s="259"/>
      <c r="P41" s="92"/>
      <c r="Q41" s="259"/>
      <c r="R41" s="146" t="str">
        <f>IF(Q41='3. Parameters kostprijsmodel'!$C$9,'3. Parameters kostprijsmodel'!$D$9,IF(Q41='3. Parameters kostprijsmodel'!$C$10,'3. Parameters kostprijsmodel'!$D$10,IF(Q41='3. Parameters kostprijsmodel'!$C$11,'3. Parameters kostprijsmodel'!$D$11,"")))</f>
        <v/>
      </c>
      <c r="S41" s="146"/>
      <c r="T41" s="146" t="str">
        <f t="shared" si="1"/>
        <v/>
      </c>
      <c r="U41" s="146" t="str">
        <f t="shared" si="2"/>
        <v/>
      </c>
    </row>
    <row r="42" spans="1:21" ht="12.95" customHeight="1" x14ac:dyDescent="0.15">
      <c r="A42" s="3"/>
      <c r="B42" s="3"/>
      <c r="C42" s="3"/>
      <c r="D42" s="900"/>
      <c r="E42" s="861"/>
      <c r="F42" s="861"/>
      <c r="G42" s="862"/>
      <c r="H42" s="219"/>
      <c r="I42" s="235"/>
      <c r="J42" s="186"/>
      <c r="K42" s="66"/>
      <c r="L42" s="66"/>
      <c r="M42" s="66"/>
      <c r="N42" s="92"/>
      <c r="O42" s="259"/>
      <c r="P42" s="92"/>
      <c r="Q42" s="259"/>
      <c r="R42" s="146" t="str">
        <f>IF(Q42='3. Parameters kostprijsmodel'!$C$9,'3. Parameters kostprijsmodel'!$D$9,IF(Q42='3. Parameters kostprijsmodel'!$C$10,'3. Parameters kostprijsmodel'!$D$10,IF(Q42='3. Parameters kostprijsmodel'!$C$11,'3. Parameters kostprijsmodel'!$D$11,"")))</f>
        <v/>
      </c>
      <c r="S42" s="146"/>
      <c r="T42" s="146" t="str">
        <f t="shared" si="1"/>
        <v/>
      </c>
      <c r="U42" s="146" t="str">
        <f t="shared" si="2"/>
        <v/>
      </c>
    </row>
    <row r="43" spans="1:21" ht="12.95" customHeight="1" x14ac:dyDescent="0.15">
      <c r="A43" s="3"/>
      <c r="B43" s="3"/>
      <c r="C43" s="3"/>
      <c r="D43" s="900"/>
      <c r="E43" s="861"/>
      <c r="F43" s="861"/>
      <c r="G43" s="862"/>
      <c r="H43" s="233"/>
      <c r="I43" s="234"/>
      <c r="J43" s="186"/>
      <c r="K43" s="176"/>
      <c r="L43" s="176"/>
      <c r="M43" s="176"/>
      <c r="N43" s="181"/>
      <c r="O43" s="253"/>
      <c r="P43" s="181"/>
      <c r="Q43" s="253"/>
      <c r="R43" s="151" t="str">
        <f>IF(Q43='3. Parameters kostprijsmodel'!$C$9,'3. Parameters kostprijsmodel'!$D$9,IF(Q43='3. Parameters kostprijsmodel'!$C$10,'3. Parameters kostprijsmodel'!$D$10,IF(Q43='3. Parameters kostprijsmodel'!$C$11,'3. Parameters kostprijsmodel'!$D$11,"")))</f>
        <v/>
      </c>
      <c r="S43" s="151"/>
      <c r="T43" s="151" t="str">
        <f t="shared" si="1"/>
        <v/>
      </c>
      <c r="U43" s="151" t="str">
        <f t="shared" si="2"/>
        <v/>
      </c>
    </row>
    <row r="44" spans="1:21" ht="12.95" customHeight="1" x14ac:dyDescent="0.15">
      <c r="A44" s="19"/>
      <c r="B44" s="19"/>
      <c r="C44" s="5"/>
      <c r="D44" s="900" t="s">
        <v>359</v>
      </c>
      <c r="E44" s="861"/>
      <c r="F44" s="861"/>
      <c r="G44" s="862"/>
      <c r="H44" s="220" t="s">
        <v>317</v>
      </c>
      <c r="I44" s="237"/>
      <c r="J44" s="191" t="s">
        <v>166</v>
      </c>
      <c r="K44" s="258">
        <f>K38*50%</f>
        <v>0.12738095238095248</v>
      </c>
      <c r="L44" s="258">
        <f>L38*50%</f>
        <v>9.9870535714285835E-2</v>
      </c>
      <c r="M44" s="67" t="s">
        <v>275</v>
      </c>
      <c r="N44" s="727" t="s">
        <v>360</v>
      </c>
      <c r="O44" s="728"/>
      <c r="P44" s="504">
        <v>1</v>
      </c>
      <c r="Q44" s="256" t="s">
        <v>169</v>
      </c>
      <c r="R44" s="157">
        <f>IF(Q44='3. Parameters kostprijsmodel'!$C$9,'3. Parameters kostprijsmodel'!$D$9,IF(Q44='3. Parameters kostprijsmodel'!$C$10,'3. Parameters kostprijsmodel'!$D$10,IF(Q44='3. Parameters kostprijsmodel'!$C$11,'3. Parameters kostprijsmodel'!$D$11,"")))</f>
        <v>76.03</v>
      </c>
      <c r="S44" s="157">
        <v>0</v>
      </c>
      <c r="T44" s="157">
        <f t="shared" si="1"/>
        <v>9.6847738095238167</v>
      </c>
      <c r="U44" s="157">
        <f t="shared" si="2"/>
        <v>7.5931568303571524</v>
      </c>
    </row>
    <row r="45" spans="1:21" ht="12.95" customHeight="1" x14ac:dyDescent="0.15">
      <c r="A45" s="3"/>
      <c r="B45" s="3"/>
      <c r="C45" s="6"/>
      <c r="D45" s="900"/>
      <c r="E45" s="861"/>
      <c r="F45" s="861"/>
      <c r="G45" s="862"/>
      <c r="H45" s="236" t="s">
        <v>361</v>
      </c>
      <c r="I45" s="221"/>
      <c r="J45" s="191" t="s">
        <v>166</v>
      </c>
      <c r="K45" s="258">
        <f>K38*100%</f>
        <v>0.25476190476190497</v>
      </c>
      <c r="L45" s="258">
        <f>L38*100%</f>
        <v>0.19974107142857167</v>
      </c>
      <c r="M45" s="67" t="s">
        <v>275</v>
      </c>
      <c r="N45" s="727" t="s">
        <v>362</v>
      </c>
      <c r="O45" s="728"/>
      <c r="P45" s="504">
        <v>1</v>
      </c>
      <c r="Q45" s="256" t="s">
        <v>169</v>
      </c>
      <c r="R45" s="157">
        <f>IF(Q45='3. Parameters kostprijsmodel'!$C$9,'3. Parameters kostprijsmodel'!$D$9,IF(Q45='3. Parameters kostprijsmodel'!$C$10,'3. Parameters kostprijsmodel'!$D$10,IF(Q45='3. Parameters kostprijsmodel'!$C$11,'3. Parameters kostprijsmodel'!$D$11,"")))</f>
        <v>76.03</v>
      </c>
      <c r="S45" s="157">
        <v>0</v>
      </c>
      <c r="T45" s="157">
        <f t="shared" si="1"/>
        <v>19.369547619047633</v>
      </c>
      <c r="U45" s="157">
        <f t="shared" si="2"/>
        <v>15.186313660714305</v>
      </c>
    </row>
    <row r="46" spans="1:21" ht="12.95" customHeight="1" x14ac:dyDescent="0.15">
      <c r="A46" s="3"/>
      <c r="B46" s="3"/>
      <c r="C46" s="6"/>
      <c r="D46" s="900"/>
      <c r="E46" s="861"/>
      <c r="F46" s="861"/>
      <c r="G46" s="862"/>
      <c r="H46" s="206"/>
      <c r="I46" s="204"/>
      <c r="J46" s="186"/>
      <c r="K46" s="66"/>
      <c r="L46" s="66"/>
      <c r="M46" s="66"/>
      <c r="N46" s="92"/>
      <c r="O46" s="259"/>
      <c r="P46" s="66"/>
      <c r="Q46" s="66"/>
      <c r="R46" s="146" t="str">
        <f>IF(Q46='3. Parameters kostprijsmodel'!$C$9,'3. Parameters kostprijsmodel'!$D$9,IF(Q46='3. Parameters kostprijsmodel'!$C$10,'3. Parameters kostprijsmodel'!$D$10,IF(Q46='3. Parameters kostprijsmodel'!$C$11,'3. Parameters kostprijsmodel'!$D$11,"")))</f>
        <v/>
      </c>
      <c r="S46" s="146"/>
      <c r="T46" s="146" t="str">
        <f t="shared" si="1"/>
        <v/>
      </c>
      <c r="U46" s="146" t="str">
        <f t="shared" si="2"/>
        <v/>
      </c>
    </row>
    <row r="47" spans="1:21" ht="12.95" customHeight="1" x14ac:dyDescent="0.15">
      <c r="A47" s="3"/>
      <c r="B47" s="3"/>
      <c r="C47" s="6"/>
      <c r="D47" s="900"/>
      <c r="E47" s="861"/>
      <c r="F47" s="861"/>
      <c r="G47" s="862"/>
      <c r="H47" s="219"/>
      <c r="I47" s="238"/>
      <c r="J47" s="186"/>
      <c r="K47" s="66"/>
      <c r="L47" s="66"/>
      <c r="M47" s="66"/>
      <c r="N47" s="92"/>
      <c r="O47" s="259"/>
      <c r="P47" s="66"/>
      <c r="Q47" s="66"/>
      <c r="R47" s="146" t="str">
        <f>IF(Q47='3. Parameters kostprijsmodel'!$C$9,'3. Parameters kostprijsmodel'!$D$9,IF(Q47='3. Parameters kostprijsmodel'!$C$10,'3. Parameters kostprijsmodel'!$D$10,IF(Q47='3. Parameters kostprijsmodel'!$C$11,'3. Parameters kostprijsmodel'!$D$11,"")))</f>
        <v/>
      </c>
      <c r="S47" s="146"/>
      <c r="T47" s="146" t="str">
        <f t="shared" si="1"/>
        <v/>
      </c>
      <c r="U47" s="146" t="str">
        <f t="shared" si="2"/>
        <v/>
      </c>
    </row>
    <row r="48" spans="1:21" ht="12.95" customHeight="1" x14ac:dyDescent="0.15">
      <c r="A48" s="3"/>
      <c r="B48" s="3"/>
      <c r="C48" s="6"/>
      <c r="D48" s="900"/>
      <c r="E48" s="861"/>
      <c r="F48" s="861"/>
      <c r="G48" s="862"/>
      <c r="H48" s="239"/>
      <c r="I48" s="238"/>
      <c r="J48" s="186"/>
      <c r="K48" s="66"/>
      <c r="L48" s="66"/>
      <c r="M48" s="66"/>
      <c r="N48" s="92"/>
      <c r="O48" s="259"/>
      <c r="P48" s="92"/>
      <c r="Q48" s="259"/>
      <c r="R48" s="146" t="str">
        <f>IF(Q48='3. Parameters kostprijsmodel'!$C$9,'3. Parameters kostprijsmodel'!$D$9,IF(Q48='3. Parameters kostprijsmodel'!$C$10,'3. Parameters kostprijsmodel'!$D$10,IF(Q48='3. Parameters kostprijsmodel'!$C$11,'3. Parameters kostprijsmodel'!$D$11,"")))</f>
        <v/>
      </c>
      <c r="S48" s="146"/>
      <c r="T48" s="146" t="str">
        <f t="shared" si="1"/>
        <v/>
      </c>
      <c r="U48" s="146" t="str">
        <f t="shared" si="2"/>
        <v/>
      </c>
    </row>
    <row r="49" spans="1:26" ht="12.95" customHeight="1" x14ac:dyDescent="0.15">
      <c r="A49" s="3"/>
      <c r="B49" s="3"/>
      <c r="C49" s="7"/>
      <c r="D49" s="900"/>
      <c r="E49" s="861"/>
      <c r="F49" s="861"/>
      <c r="G49" s="862"/>
      <c r="H49" s="219"/>
      <c r="I49" s="235"/>
      <c r="J49" s="186"/>
      <c r="K49" s="66"/>
      <c r="L49" s="66"/>
      <c r="M49" s="66"/>
      <c r="N49" s="181"/>
      <c r="O49" s="259"/>
      <c r="P49" s="92"/>
      <c r="Q49" s="259"/>
      <c r="R49" s="146" t="str">
        <f>IF(Q49='3. Parameters kostprijsmodel'!$C$9,'3. Parameters kostprijsmodel'!$D$9,IF(Q49='3. Parameters kostprijsmodel'!$C$10,'3. Parameters kostprijsmodel'!$D$10,IF(Q49='3. Parameters kostprijsmodel'!$C$11,'3. Parameters kostprijsmodel'!$D$11,"")))</f>
        <v/>
      </c>
      <c r="S49" s="146"/>
      <c r="T49" s="146" t="str">
        <f t="shared" si="1"/>
        <v/>
      </c>
      <c r="U49" s="146" t="str">
        <f t="shared" si="2"/>
        <v/>
      </c>
    </row>
    <row r="50" spans="1:26" ht="12.95" customHeight="1" x14ac:dyDescent="0.15">
      <c r="A50" s="19"/>
      <c r="B50" s="19"/>
      <c r="C50" s="5"/>
      <c r="D50" s="900" t="s">
        <v>352</v>
      </c>
      <c r="E50" s="861"/>
      <c r="F50" s="861"/>
      <c r="G50" s="862"/>
      <c r="H50" s="236" t="s">
        <v>339</v>
      </c>
      <c r="I50" s="240"/>
      <c r="J50" s="191" t="s">
        <v>166</v>
      </c>
      <c r="K50" s="258">
        <f>24/'3. Parameters kostprijsmodel'!$C$29</f>
        <v>9.6000000000000002E-2</v>
      </c>
      <c r="L50" s="258">
        <f>24/'3. Parameters kostprijsmodel'!$C$29</f>
        <v>9.6000000000000002E-2</v>
      </c>
      <c r="M50" s="67" t="s">
        <v>275</v>
      </c>
      <c r="N50" s="727" t="s">
        <v>276</v>
      </c>
      <c r="O50" s="728"/>
      <c r="P50" s="288">
        <v>1</v>
      </c>
      <c r="Q50" s="255" t="s">
        <v>167</v>
      </c>
      <c r="R50" s="156">
        <f>IF(Q50='3. Parameters kostprijsmodel'!$C$9,'3. Parameters kostprijsmodel'!$D$9,IF(Q50='3. Parameters kostprijsmodel'!$C$10,'3. Parameters kostprijsmodel'!$D$10,IF(Q50='3. Parameters kostprijsmodel'!$C$11,'3. Parameters kostprijsmodel'!$D$11,"")))</f>
        <v>91.68</v>
      </c>
      <c r="S50" s="156">
        <v>0</v>
      </c>
      <c r="T50" s="156">
        <f t="shared" si="1"/>
        <v>8.8012800000000002</v>
      </c>
      <c r="U50" s="156">
        <f>IF($L50="","",L50*$P50*$R50+$S50)</f>
        <v>8.8012800000000002</v>
      </c>
    </row>
    <row r="51" spans="1:26" ht="12.95" customHeight="1" x14ac:dyDescent="0.15">
      <c r="A51" s="3"/>
      <c r="B51" s="3"/>
      <c r="C51" s="6"/>
      <c r="D51" s="900"/>
      <c r="E51" s="861"/>
      <c r="F51" s="861"/>
      <c r="G51" s="862"/>
      <c r="H51" s="236" t="s">
        <v>340</v>
      </c>
      <c r="I51" s="241"/>
      <c r="J51" s="191" t="s">
        <v>166</v>
      </c>
      <c r="K51" s="258">
        <f>32/'3. Parameters kostprijsmodel'!$C$29</f>
        <v>0.128</v>
      </c>
      <c r="L51" s="258">
        <f>32/'3. Parameters kostprijsmodel'!$C$29</f>
        <v>0.128</v>
      </c>
      <c r="M51" s="67" t="s">
        <v>275</v>
      </c>
      <c r="N51" s="727" t="s">
        <v>276</v>
      </c>
      <c r="O51" s="728"/>
      <c r="P51" s="505">
        <v>1</v>
      </c>
      <c r="Q51" s="91" t="s">
        <v>167</v>
      </c>
      <c r="R51" s="148">
        <f>IF(Q51='3. Parameters kostprijsmodel'!$C$9,'3. Parameters kostprijsmodel'!$D$9,IF(Q51='3. Parameters kostprijsmodel'!$C$10,'3. Parameters kostprijsmodel'!$D$10,IF(Q51='3. Parameters kostprijsmodel'!$C$11,'3. Parameters kostprijsmodel'!$D$11,"")))</f>
        <v>91.68</v>
      </c>
      <c r="S51" s="148">
        <v>0</v>
      </c>
      <c r="T51" s="148">
        <f t="shared" si="1"/>
        <v>11.735040000000001</v>
      </c>
      <c r="U51" s="148">
        <f t="shared" si="2"/>
        <v>11.735040000000001</v>
      </c>
    </row>
    <row r="52" spans="1:26" ht="12.95" customHeight="1" x14ac:dyDescent="0.15">
      <c r="A52" s="3"/>
      <c r="B52" s="3"/>
      <c r="C52" s="6"/>
      <c r="D52" s="900"/>
      <c r="E52" s="861"/>
      <c r="F52" s="861"/>
      <c r="G52" s="862"/>
      <c r="H52" s="236" t="s">
        <v>341</v>
      </c>
      <c r="I52" s="241"/>
      <c r="J52" s="191" t="s">
        <v>166</v>
      </c>
      <c r="K52" s="258">
        <f>3.75/'3. Parameters kostprijsmodel'!$C$29</f>
        <v>1.4999999999999999E-2</v>
      </c>
      <c r="L52" s="258">
        <f>3.75/'3. Parameters kostprijsmodel'!$C$29</f>
        <v>1.4999999999999999E-2</v>
      </c>
      <c r="M52" s="67" t="s">
        <v>275</v>
      </c>
      <c r="N52" s="727" t="s">
        <v>276</v>
      </c>
      <c r="O52" s="728"/>
      <c r="P52" s="65">
        <v>1</v>
      </c>
      <c r="Q52" s="65" t="s">
        <v>167</v>
      </c>
      <c r="R52" s="157">
        <f>IF(Q52='3. Parameters kostprijsmodel'!$C$9,'3. Parameters kostprijsmodel'!$D$9,IF(Q52='3. Parameters kostprijsmodel'!$C$10,'3. Parameters kostprijsmodel'!$D$10,IF(Q52='3. Parameters kostprijsmodel'!$C$11,'3. Parameters kostprijsmodel'!$D$11,"")))</f>
        <v>91.68</v>
      </c>
      <c r="S52" s="157">
        <v>0</v>
      </c>
      <c r="T52" s="157">
        <f t="shared" si="1"/>
        <v>1.3752</v>
      </c>
      <c r="U52" s="157">
        <f t="shared" si="2"/>
        <v>1.3752</v>
      </c>
    </row>
    <row r="53" spans="1:26" ht="12.95" customHeight="1" x14ac:dyDescent="0.15">
      <c r="A53" s="3"/>
      <c r="B53" s="3"/>
      <c r="C53" s="6"/>
      <c r="D53" s="900"/>
      <c r="E53" s="861"/>
      <c r="F53" s="861"/>
      <c r="G53" s="862"/>
      <c r="H53" s="219"/>
      <c r="I53" s="235"/>
      <c r="J53" s="186"/>
      <c r="K53" s="66"/>
      <c r="L53" s="66"/>
      <c r="M53" s="66"/>
      <c r="N53" s="92"/>
      <c r="O53" s="259"/>
      <c r="P53" s="72"/>
      <c r="Q53" s="72"/>
      <c r="R53" s="153" t="str">
        <f>IF(Q53='3. Parameters kostprijsmodel'!$C$9,'3. Parameters kostprijsmodel'!$D$9,IF(Q53='3. Parameters kostprijsmodel'!$C$10,'3. Parameters kostprijsmodel'!$D$10,IF(Q53='3. Parameters kostprijsmodel'!$C$11,'3. Parameters kostprijsmodel'!$D$11,"")))</f>
        <v/>
      </c>
      <c r="S53" s="153"/>
      <c r="T53" s="153" t="str">
        <f t="shared" si="1"/>
        <v/>
      </c>
      <c r="U53" s="153" t="str">
        <f t="shared" si="2"/>
        <v/>
      </c>
    </row>
    <row r="54" spans="1:26" ht="12.95" customHeight="1" x14ac:dyDescent="0.15">
      <c r="A54" s="3"/>
      <c r="B54" s="3"/>
      <c r="C54" s="6"/>
      <c r="D54" s="900"/>
      <c r="E54" s="861"/>
      <c r="F54" s="861"/>
      <c r="G54" s="862"/>
      <c r="H54" s="219"/>
      <c r="I54" s="235"/>
      <c r="J54" s="186"/>
      <c r="K54" s="66"/>
      <c r="L54" s="66"/>
      <c r="M54" s="66"/>
      <c r="N54" s="92"/>
      <c r="O54" s="259"/>
      <c r="P54" s="72"/>
      <c r="Q54" s="72"/>
      <c r="R54" s="153" t="str">
        <f>IF(Q54='3. Parameters kostprijsmodel'!$C$9,'3. Parameters kostprijsmodel'!$D$9,IF(Q54='3. Parameters kostprijsmodel'!$C$10,'3. Parameters kostprijsmodel'!$D$10,IF(Q54='3. Parameters kostprijsmodel'!$C$11,'3. Parameters kostprijsmodel'!$D$11,"")))</f>
        <v/>
      </c>
      <c r="S54" s="153"/>
      <c r="T54" s="153" t="str">
        <f t="shared" si="1"/>
        <v/>
      </c>
      <c r="U54" s="153" t="str">
        <f t="shared" si="2"/>
        <v/>
      </c>
    </row>
    <row r="55" spans="1:26" ht="12.95" customHeight="1" x14ac:dyDescent="0.15">
      <c r="A55" s="20"/>
      <c r="B55" s="20"/>
      <c r="C55" s="7"/>
      <c r="D55" s="901"/>
      <c r="E55" s="878"/>
      <c r="F55" s="878"/>
      <c r="G55" s="879"/>
      <c r="H55" s="233"/>
      <c r="I55" s="234"/>
      <c r="J55" s="190"/>
      <c r="K55" s="76"/>
      <c r="L55" s="76"/>
      <c r="M55" s="76"/>
      <c r="N55" s="181"/>
      <c r="O55" s="253"/>
      <c r="P55" s="76"/>
      <c r="Q55" s="76"/>
      <c r="R55" s="145" t="str">
        <f>IF(Q55='3. Parameters kostprijsmodel'!$C$9,'3. Parameters kostprijsmodel'!$D$9,IF(Q55='3. Parameters kostprijsmodel'!$C$10,'3. Parameters kostprijsmodel'!$D$10,IF(Q55='3. Parameters kostprijsmodel'!$C$11,'3. Parameters kostprijsmodel'!$D$11,"")))</f>
        <v/>
      </c>
      <c r="S55" s="145"/>
      <c r="T55" s="145" t="str">
        <f t="shared" si="1"/>
        <v/>
      </c>
      <c r="U55" s="145" t="str">
        <f t="shared" si="2"/>
        <v/>
      </c>
    </row>
    <row r="56" spans="1:26" ht="12.95" customHeight="1" x14ac:dyDescent="0.15">
      <c r="A56" s="19"/>
      <c r="B56" s="19"/>
      <c r="C56" s="5"/>
      <c r="D56" s="899" t="s">
        <v>353</v>
      </c>
      <c r="E56" s="859"/>
      <c r="F56" s="859"/>
      <c r="G56" s="860"/>
      <c r="H56" s="880" t="s">
        <v>343</v>
      </c>
      <c r="I56" s="877"/>
      <c r="J56" s="178" t="s">
        <v>171</v>
      </c>
      <c r="K56" s="258">
        <f>7/'3. Parameters kostprijsmodel'!$C$29</f>
        <v>2.8000000000000001E-2</v>
      </c>
      <c r="L56" s="258">
        <f>7/'3. Parameters kostprijsmodel'!$C$29</f>
        <v>2.8000000000000001E-2</v>
      </c>
      <c r="M56" s="67" t="s">
        <v>275</v>
      </c>
      <c r="N56" s="727" t="s">
        <v>276</v>
      </c>
      <c r="O56" s="728"/>
      <c r="P56" s="71">
        <v>1</v>
      </c>
      <c r="Q56" s="71" t="s">
        <v>172</v>
      </c>
      <c r="R56" s="156">
        <f>IF(Q56='3. Parameters kostprijsmodel'!$C$9,'3. Parameters kostprijsmodel'!$D$9,IF(Q56='3. Parameters kostprijsmodel'!$C$10,'3. Parameters kostprijsmodel'!$D$10,IF(Q56='3. Parameters kostprijsmodel'!$C$11,'3. Parameters kostprijsmodel'!$D$11,"")))</f>
        <v>66.255819148936169</v>
      </c>
      <c r="S56" s="156">
        <v>0</v>
      </c>
      <c r="T56" s="156">
        <f t="shared" si="1"/>
        <v>1.8551629361702127</v>
      </c>
      <c r="U56" s="156">
        <f t="shared" si="2"/>
        <v>1.8551629361702127</v>
      </c>
    </row>
    <row r="57" spans="1:26" ht="12.95" customHeight="1" x14ac:dyDescent="0.15">
      <c r="A57" s="3"/>
      <c r="B57" s="3"/>
      <c r="C57" s="6"/>
      <c r="D57" s="900"/>
      <c r="E57" s="861"/>
      <c r="F57" s="861"/>
      <c r="G57" s="862"/>
      <c r="H57" s="230" t="s">
        <v>344</v>
      </c>
      <c r="I57" s="242"/>
      <c r="J57" s="178" t="s">
        <v>171</v>
      </c>
      <c r="K57" s="258">
        <f>6/'3. Parameters kostprijsmodel'!$C$29</f>
        <v>2.4E-2</v>
      </c>
      <c r="L57" s="258">
        <f>6/'3. Parameters kostprijsmodel'!$C$29</f>
        <v>2.4E-2</v>
      </c>
      <c r="M57" s="67" t="s">
        <v>275</v>
      </c>
      <c r="N57" s="727" t="s">
        <v>276</v>
      </c>
      <c r="O57" s="728"/>
      <c r="P57" s="65">
        <v>1</v>
      </c>
      <c r="Q57" s="65" t="s">
        <v>172</v>
      </c>
      <c r="R57" s="157">
        <f>IF(Q57='3. Parameters kostprijsmodel'!$C$9,'3. Parameters kostprijsmodel'!$D$9,IF(Q57='3. Parameters kostprijsmodel'!$C$10,'3. Parameters kostprijsmodel'!$D$10,IF(Q57='3. Parameters kostprijsmodel'!$C$11,'3. Parameters kostprijsmodel'!$D$11,"")))</f>
        <v>66.255819148936169</v>
      </c>
      <c r="S57" s="157">
        <v>0</v>
      </c>
      <c r="T57" s="157">
        <f t="shared" si="1"/>
        <v>1.5901396595744681</v>
      </c>
      <c r="U57" s="157">
        <f t="shared" si="2"/>
        <v>1.5901396595744681</v>
      </c>
    </row>
    <row r="58" spans="1:26" ht="12.95" customHeight="1" x14ac:dyDescent="0.15">
      <c r="A58" s="3"/>
      <c r="B58" s="3"/>
      <c r="C58" s="6"/>
      <c r="D58" s="900"/>
      <c r="E58" s="861"/>
      <c r="F58" s="861"/>
      <c r="G58" s="862"/>
      <c r="H58" s="219"/>
      <c r="I58" s="235"/>
      <c r="J58" s="186"/>
      <c r="K58" s="66"/>
      <c r="L58" s="66"/>
      <c r="M58" s="66"/>
      <c r="N58" s="92"/>
      <c r="O58" s="259"/>
      <c r="P58" s="66"/>
      <c r="Q58" s="66"/>
      <c r="R58" s="146" t="str">
        <f>IF(Q58='3. Parameters kostprijsmodel'!$C$9,'3. Parameters kostprijsmodel'!$D$9,IF(Q58='3. Parameters kostprijsmodel'!$C$10,'3. Parameters kostprijsmodel'!$D$10,IF(Q58='3. Parameters kostprijsmodel'!$C$11,'3. Parameters kostprijsmodel'!$D$11,"")))</f>
        <v/>
      </c>
      <c r="S58" s="146"/>
      <c r="T58" s="146" t="str">
        <f t="shared" si="1"/>
        <v/>
      </c>
      <c r="U58" s="146" t="str">
        <f t="shared" si="2"/>
        <v/>
      </c>
    </row>
    <row r="59" spans="1:26" ht="12.95" customHeight="1" x14ac:dyDescent="0.15">
      <c r="A59" s="3"/>
      <c r="B59" s="3"/>
      <c r="C59" s="6"/>
      <c r="D59" s="900"/>
      <c r="E59" s="861"/>
      <c r="F59" s="861"/>
      <c r="G59" s="862"/>
      <c r="H59" s="219"/>
      <c r="I59" s="235"/>
      <c r="J59" s="186"/>
      <c r="K59" s="72"/>
      <c r="L59" s="72"/>
      <c r="M59" s="72"/>
      <c r="N59" s="92"/>
      <c r="O59" s="259"/>
      <c r="P59" s="66"/>
      <c r="Q59" s="66"/>
      <c r="R59" s="146" t="str">
        <f>IF(Q59='3. Parameters kostprijsmodel'!$C$9,'3. Parameters kostprijsmodel'!$D$9,IF(Q59='3. Parameters kostprijsmodel'!$C$10,'3. Parameters kostprijsmodel'!$D$10,IF(Q59='3. Parameters kostprijsmodel'!$C$11,'3. Parameters kostprijsmodel'!$D$11,"")))</f>
        <v/>
      </c>
      <c r="S59" s="146"/>
      <c r="T59" s="146" t="str">
        <f t="shared" si="1"/>
        <v/>
      </c>
      <c r="U59" s="146" t="str">
        <f t="shared" si="2"/>
        <v/>
      </c>
    </row>
    <row r="60" spans="1:26" ht="12.95" customHeight="1" x14ac:dyDescent="0.15">
      <c r="A60" s="3"/>
      <c r="B60" s="3"/>
      <c r="C60" s="6"/>
      <c r="D60" s="900"/>
      <c r="E60" s="861"/>
      <c r="F60" s="861"/>
      <c r="G60" s="862"/>
      <c r="H60" s="219"/>
      <c r="I60" s="235"/>
      <c r="J60" s="186"/>
      <c r="K60" s="72"/>
      <c r="L60" s="72"/>
      <c r="M60" s="72"/>
      <c r="N60" s="92"/>
      <c r="O60" s="259"/>
      <c r="P60" s="66"/>
      <c r="Q60" s="66"/>
      <c r="R60" s="146" t="str">
        <f>IF(Q60='3. Parameters kostprijsmodel'!$C$9,'3. Parameters kostprijsmodel'!$D$9,IF(Q60='3. Parameters kostprijsmodel'!$C$10,'3. Parameters kostprijsmodel'!$D$10,IF(Q60='3. Parameters kostprijsmodel'!$C$11,'3. Parameters kostprijsmodel'!$D$11,"")))</f>
        <v/>
      </c>
      <c r="S60" s="146"/>
      <c r="T60" s="146" t="str">
        <f t="shared" si="1"/>
        <v/>
      </c>
      <c r="U60" s="146" t="str">
        <f t="shared" si="2"/>
        <v/>
      </c>
    </row>
    <row r="61" spans="1:26" ht="12.95" customHeight="1" x14ac:dyDescent="0.15">
      <c r="A61" s="20"/>
      <c r="B61" s="20"/>
      <c r="C61" s="7"/>
      <c r="D61" s="901"/>
      <c r="E61" s="878"/>
      <c r="F61" s="878"/>
      <c r="G61" s="879"/>
      <c r="H61" s="233"/>
      <c r="I61" s="234"/>
      <c r="J61" s="190"/>
      <c r="K61" s="76"/>
      <c r="L61" s="76"/>
      <c r="M61" s="76"/>
      <c r="N61" s="181"/>
      <c r="O61" s="253"/>
      <c r="P61" s="76"/>
      <c r="Q61" s="76"/>
      <c r="R61" s="145" t="str">
        <f>IF(Q61='3. Parameters kostprijsmodel'!$C$9,'3. Parameters kostprijsmodel'!$D$9,IF(Q61='3. Parameters kostprijsmodel'!$C$10,'3. Parameters kostprijsmodel'!$D$10,IF(Q61='3. Parameters kostprijsmodel'!$C$11,'3. Parameters kostprijsmodel'!$D$11,"")))</f>
        <v/>
      </c>
      <c r="S61" s="145"/>
      <c r="T61" s="145" t="str">
        <f t="shared" si="1"/>
        <v/>
      </c>
      <c r="U61" s="145" t="str">
        <f t="shared" si="2"/>
        <v/>
      </c>
    </row>
    <row r="62" spans="1:26" ht="12.95" customHeight="1" x14ac:dyDescent="0.15">
      <c r="A62" s="11"/>
      <c r="B62" s="11"/>
      <c r="C62" s="11"/>
      <c r="D62" s="223"/>
      <c r="E62" s="223"/>
      <c r="F62" s="223"/>
      <c r="G62" s="223"/>
      <c r="H62" s="223"/>
      <c r="I62" s="243"/>
      <c r="J62" s="11"/>
      <c r="K62" s="98"/>
      <c r="L62" s="98"/>
      <c r="M62" s="98"/>
      <c r="N62" s="98"/>
      <c r="O62" s="98"/>
      <c r="P62" s="98"/>
      <c r="Q62" s="98"/>
      <c r="R62" s="98"/>
      <c r="S62" s="98"/>
      <c r="T62" s="98"/>
      <c r="U62" s="99"/>
    </row>
    <row r="63" spans="1:26" ht="12.95" customHeight="1" x14ac:dyDescent="0.15">
      <c r="A63" s="13"/>
      <c r="B63" s="13"/>
      <c r="C63" s="13"/>
      <c r="D63" s="225"/>
      <c r="E63" s="225"/>
      <c r="F63" s="225"/>
      <c r="G63" s="225"/>
      <c r="H63" s="225"/>
      <c r="I63" s="226"/>
      <c r="J63" s="13"/>
      <c r="K63" s="85"/>
      <c r="L63" s="85"/>
      <c r="M63" s="85"/>
      <c r="N63" s="85"/>
      <c r="O63" s="85"/>
      <c r="P63" s="85"/>
      <c r="Q63" s="85"/>
      <c r="R63" s="85"/>
      <c r="S63" s="85"/>
      <c r="T63" s="85"/>
      <c r="U63" s="100"/>
    </row>
    <row r="64" spans="1:26" s="8" customFormat="1" ht="12.95" customHeight="1" x14ac:dyDescent="0.15">
      <c r="A64" s="3"/>
      <c r="B64" s="3"/>
      <c r="C64" s="3"/>
      <c r="D64" s="3"/>
      <c r="E64" s="3"/>
      <c r="F64" s="3"/>
      <c r="G64" s="3"/>
      <c r="H64" s="3"/>
      <c r="I64" s="3"/>
      <c r="J64" s="3"/>
      <c r="K64" s="86"/>
      <c r="L64" s="86"/>
      <c r="M64" s="86"/>
      <c r="N64" s="86"/>
      <c r="O64" s="86"/>
      <c r="P64" s="86"/>
      <c r="Q64" s="86"/>
      <c r="R64" s="86"/>
      <c r="S64" s="86"/>
      <c r="T64" s="86"/>
      <c r="U64" s="86"/>
      <c r="V64" s="3"/>
      <c r="W64" s="3"/>
      <c r="X64" s="3"/>
      <c r="Y64" s="3"/>
      <c r="Z64" s="3"/>
    </row>
    <row r="65" spans="1:26" s="8" customFormat="1" ht="12.95" customHeight="1" x14ac:dyDescent="0.15">
      <c r="A65" s="3"/>
      <c r="B65" s="3"/>
      <c r="C65" s="3"/>
      <c r="D65" s="3"/>
      <c r="E65" s="3"/>
      <c r="F65" s="3"/>
      <c r="G65" s="3"/>
      <c r="H65" s="3"/>
      <c r="I65" s="3"/>
      <c r="J65" s="3"/>
      <c r="K65" s="86"/>
      <c r="L65" s="86"/>
      <c r="M65" s="86"/>
      <c r="N65" s="86"/>
      <c r="O65" s="86"/>
      <c r="P65" s="86"/>
      <c r="Q65" s="86"/>
      <c r="R65" s="86"/>
      <c r="S65" s="86"/>
      <c r="T65" s="86"/>
      <c r="U65" s="86"/>
      <c r="V65" s="3"/>
      <c r="W65" s="3"/>
      <c r="X65" s="3"/>
      <c r="Y65" s="3"/>
      <c r="Z65" s="3"/>
    </row>
    <row r="66" spans="1:26" s="8" customFormat="1" ht="12.95" customHeight="1" x14ac:dyDescent="0.15">
      <c r="A66" s="3"/>
      <c r="B66" s="3"/>
      <c r="C66" s="3"/>
      <c r="D66" s="3"/>
      <c r="E66" s="3"/>
      <c r="F66" s="3"/>
      <c r="G66" s="3"/>
      <c r="H66" s="3"/>
      <c r="I66" s="3"/>
      <c r="J66" s="3"/>
      <c r="K66" s="86"/>
      <c r="L66" s="86"/>
      <c r="M66" s="86"/>
      <c r="N66" s="86"/>
      <c r="O66" s="86"/>
      <c r="P66" s="86"/>
      <c r="Q66" s="86"/>
      <c r="R66" s="86"/>
      <c r="S66" s="86"/>
      <c r="T66" s="86"/>
      <c r="U66" s="86"/>
      <c r="V66" s="3"/>
      <c r="W66" s="3"/>
      <c r="X66" s="3"/>
      <c r="Y66" s="3"/>
      <c r="Z66" s="3"/>
    </row>
    <row r="67" spans="1:26" s="8" customFormat="1" ht="12.95" customHeight="1" x14ac:dyDescent="0.15">
      <c r="A67" s="3"/>
      <c r="B67" s="3"/>
      <c r="C67" s="3"/>
      <c r="D67" s="3"/>
      <c r="E67" s="3"/>
      <c r="F67" s="3"/>
      <c r="G67" s="3"/>
      <c r="H67" s="3"/>
      <c r="I67" s="3"/>
      <c r="J67" s="3"/>
      <c r="K67" s="86"/>
      <c r="L67" s="86"/>
      <c r="M67" s="86"/>
      <c r="N67" s="86"/>
      <c r="O67" s="86"/>
      <c r="P67" s="86"/>
      <c r="Q67" s="86"/>
      <c r="R67" s="86"/>
      <c r="S67" s="86"/>
      <c r="T67" s="86"/>
      <c r="U67" s="86"/>
      <c r="V67" s="3"/>
      <c r="W67" s="3"/>
      <c r="X67" s="3"/>
      <c r="Y67" s="3"/>
      <c r="Z67" s="3"/>
    </row>
    <row r="68" spans="1:26" s="8" customFormat="1" ht="12.95" customHeight="1" x14ac:dyDescent="0.15">
      <c r="A68" s="3"/>
      <c r="B68" s="3"/>
      <c r="C68" s="3"/>
      <c r="D68" s="3"/>
      <c r="E68" s="3"/>
      <c r="F68" s="3"/>
      <c r="G68" s="3"/>
      <c r="H68" s="3"/>
      <c r="I68" s="3"/>
      <c r="J68" s="3"/>
      <c r="K68" s="86"/>
      <c r="L68" s="86"/>
      <c r="M68" s="86"/>
      <c r="N68" s="86"/>
      <c r="O68" s="86"/>
      <c r="P68" s="86"/>
      <c r="Q68" s="86"/>
      <c r="R68" s="86"/>
      <c r="S68" s="86"/>
      <c r="T68" s="86"/>
      <c r="U68" s="86"/>
      <c r="V68" s="3"/>
      <c r="W68" s="3"/>
      <c r="X68" s="3"/>
      <c r="Y68" s="3"/>
      <c r="Z68" s="3"/>
    </row>
    <row r="69" spans="1:26" s="8" customFormat="1" x14ac:dyDescent="0.15">
      <c r="A69" s="3"/>
      <c r="B69" s="3"/>
      <c r="C69" s="3"/>
      <c r="D69" s="3"/>
      <c r="E69" s="3"/>
      <c r="F69" s="3"/>
      <c r="G69" s="3"/>
      <c r="H69" s="3"/>
      <c r="I69" s="3"/>
      <c r="J69" s="3"/>
      <c r="K69" s="86"/>
      <c r="L69" s="86"/>
      <c r="M69" s="86"/>
      <c r="N69" s="86"/>
      <c r="O69" s="86"/>
      <c r="P69" s="86"/>
      <c r="Q69" s="86"/>
      <c r="R69" s="86"/>
      <c r="S69" s="86"/>
      <c r="T69" s="86"/>
      <c r="U69" s="86"/>
      <c r="V69" s="3"/>
      <c r="W69" s="3"/>
      <c r="X69" s="3"/>
      <c r="Y69" s="3"/>
      <c r="Z69" s="3"/>
    </row>
    <row r="70" spans="1:26" s="8" customFormat="1" x14ac:dyDescent="0.15">
      <c r="A70" s="3"/>
      <c r="B70" s="3"/>
      <c r="C70" s="3"/>
      <c r="D70" s="3"/>
      <c r="E70" s="3"/>
      <c r="F70" s="3"/>
      <c r="G70" s="3"/>
      <c r="H70" s="3"/>
      <c r="I70" s="3"/>
      <c r="J70" s="3"/>
      <c r="K70" s="86"/>
      <c r="L70" s="86"/>
      <c r="M70" s="86"/>
      <c r="N70" s="86"/>
      <c r="O70" s="86"/>
      <c r="P70" s="86"/>
      <c r="Q70" s="86"/>
      <c r="R70" s="86"/>
      <c r="S70" s="86"/>
      <c r="T70" s="86"/>
      <c r="U70" s="86"/>
      <c r="V70" s="3"/>
      <c r="W70" s="3"/>
      <c r="X70" s="3"/>
      <c r="Y70" s="3"/>
      <c r="Z70" s="3"/>
    </row>
    <row r="71" spans="1:26" s="8" customFormat="1" x14ac:dyDescent="0.15">
      <c r="A71" s="3"/>
      <c r="B71" s="3"/>
      <c r="C71" s="3"/>
      <c r="D71" s="3"/>
      <c r="E71" s="3"/>
      <c r="F71" s="3"/>
      <c r="G71" s="3"/>
      <c r="H71" s="3"/>
      <c r="I71" s="3"/>
      <c r="J71" s="3"/>
      <c r="K71" s="86"/>
      <c r="L71" s="86"/>
      <c r="M71" s="86"/>
      <c r="N71" s="86"/>
      <c r="O71" s="86"/>
      <c r="P71" s="86"/>
      <c r="Q71" s="86"/>
      <c r="R71" s="86"/>
      <c r="S71" s="86"/>
      <c r="T71" s="86"/>
      <c r="U71" s="86"/>
      <c r="V71" s="3"/>
      <c r="W71" s="3"/>
      <c r="X71" s="3"/>
      <c r="Y71" s="3"/>
      <c r="Z71" s="3"/>
    </row>
    <row r="72" spans="1:26" s="8" customFormat="1" x14ac:dyDescent="0.15">
      <c r="A72" s="3"/>
      <c r="B72" s="3"/>
      <c r="C72" s="3"/>
      <c r="D72" s="3"/>
      <c r="E72" s="3"/>
      <c r="F72" s="3"/>
      <c r="G72" s="3"/>
      <c r="H72" s="3"/>
      <c r="I72" s="3"/>
      <c r="J72" s="3"/>
      <c r="K72" s="86"/>
      <c r="L72" s="86"/>
      <c r="M72" s="86"/>
      <c r="N72" s="86"/>
      <c r="O72" s="86"/>
      <c r="P72" s="86"/>
      <c r="Q72" s="86"/>
      <c r="R72" s="86"/>
      <c r="S72" s="86"/>
      <c r="T72" s="86"/>
      <c r="U72" s="86"/>
      <c r="V72" s="3"/>
      <c r="W72" s="3"/>
      <c r="X72" s="3"/>
      <c r="Y72" s="3"/>
      <c r="Z72" s="3"/>
    </row>
    <row r="73" spans="1:26" s="8" customFormat="1" x14ac:dyDescent="0.15">
      <c r="A73" s="3"/>
      <c r="B73" s="3"/>
      <c r="C73" s="3"/>
      <c r="D73" s="3"/>
      <c r="E73" s="3"/>
      <c r="F73" s="3"/>
      <c r="G73" s="3"/>
      <c r="H73" s="3"/>
      <c r="I73" s="3"/>
      <c r="J73" s="3"/>
      <c r="K73" s="86"/>
      <c r="L73" s="86"/>
      <c r="M73" s="86"/>
      <c r="N73" s="86"/>
      <c r="O73" s="86"/>
      <c r="P73" s="86"/>
      <c r="Q73" s="86"/>
      <c r="R73" s="86"/>
      <c r="S73" s="86"/>
      <c r="T73" s="86"/>
      <c r="U73" s="86"/>
      <c r="V73" s="3"/>
      <c r="W73" s="3"/>
      <c r="X73" s="3"/>
      <c r="Y73" s="3"/>
      <c r="Z73" s="3"/>
    </row>
    <row r="74" spans="1:26" s="8" customFormat="1" x14ac:dyDescent="0.15">
      <c r="A74" s="3"/>
      <c r="B74" s="3"/>
      <c r="C74" s="3"/>
      <c r="D74" s="3"/>
      <c r="E74" s="3"/>
      <c r="F74" s="3"/>
      <c r="G74" s="3"/>
      <c r="H74" s="3"/>
      <c r="I74" s="3"/>
      <c r="J74" s="3"/>
      <c r="K74" s="86"/>
      <c r="L74" s="86"/>
      <c r="M74" s="86"/>
      <c r="N74" s="86"/>
      <c r="O74" s="86"/>
      <c r="P74" s="86"/>
      <c r="Q74" s="86"/>
      <c r="R74" s="86"/>
      <c r="S74" s="86"/>
      <c r="T74" s="86"/>
      <c r="U74" s="86"/>
      <c r="V74" s="3"/>
      <c r="W74" s="3"/>
      <c r="X74" s="3"/>
      <c r="Y74" s="3"/>
      <c r="Z74" s="3"/>
    </row>
    <row r="75" spans="1:26" s="8" customFormat="1" x14ac:dyDescent="0.15">
      <c r="A75" s="3"/>
      <c r="B75" s="3"/>
      <c r="C75" s="3"/>
      <c r="D75" s="3"/>
      <c r="E75" s="3"/>
      <c r="F75" s="3"/>
      <c r="G75" s="3"/>
      <c r="H75" s="3"/>
      <c r="I75" s="3"/>
      <c r="J75" s="3"/>
      <c r="K75" s="86"/>
      <c r="L75" s="86"/>
      <c r="M75" s="86"/>
      <c r="N75" s="86"/>
      <c r="O75" s="86"/>
      <c r="P75" s="86"/>
      <c r="Q75" s="86"/>
      <c r="R75" s="86"/>
      <c r="S75" s="86"/>
      <c r="T75" s="86"/>
      <c r="U75" s="86"/>
      <c r="V75" s="3"/>
      <c r="W75" s="3"/>
      <c r="X75" s="3"/>
      <c r="Y75" s="3"/>
      <c r="Z75" s="3"/>
    </row>
    <row r="76" spans="1:26" s="8" customFormat="1" x14ac:dyDescent="0.15">
      <c r="A76" s="3"/>
      <c r="B76" s="3"/>
      <c r="C76" s="3"/>
      <c r="D76" s="3"/>
      <c r="E76" s="3"/>
      <c r="F76" s="3"/>
      <c r="G76" s="3"/>
      <c r="H76" s="3"/>
      <c r="I76" s="3"/>
      <c r="J76" s="3"/>
      <c r="K76" s="86"/>
      <c r="L76" s="86"/>
      <c r="M76" s="86"/>
      <c r="N76" s="86"/>
      <c r="O76" s="86"/>
      <c r="P76" s="86"/>
      <c r="Q76" s="86"/>
      <c r="R76" s="86"/>
      <c r="S76" s="86"/>
      <c r="T76" s="86"/>
      <c r="U76" s="86"/>
      <c r="V76" s="3"/>
      <c r="W76" s="3"/>
      <c r="X76" s="3"/>
      <c r="Y76" s="3"/>
      <c r="Z76" s="3"/>
    </row>
    <row r="77" spans="1:26" s="8" customFormat="1" x14ac:dyDescent="0.15">
      <c r="A77" s="3"/>
      <c r="B77" s="3"/>
      <c r="C77" s="3"/>
      <c r="D77" s="3"/>
      <c r="E77" s="3"/>
      <c r="F77" s="3"/>
      <c r="G77" s="3"/>
      <c r="H77" s="3"/>
      <c r="I77" s="3"/>
      <c r="J77" s="3"/>
      <c r="K77" s="86"/>
      <c r="L77" s="86"/>
      <c r="M77" s="86"/>
      <c r="N77" s="86"/>
      <c r="O77" s="86"/>
      <c r="P77" s="86"/>
      <c r="Q77" s="86"/>
      <c r="R77" s="86"/>
      <c r="S77" s="86"/>
      <c r="T77" s="86"/>
      <c r="U77" s="86"/>
      <c r="V77" s="3"/>
      <c r="W77" s="3"/>
      <c r="X77" s="3"/>
      <c r="Y77" s="3"/>
      <c r="Z77" s="3"/>
    </row>
    <row r="78" spans="1:26" s="8" customFormat="1" x14ac:dyDescent="0.15">
      <c r="A78" s="3"/>
      <c r="B78" s="3"/>
      <c r="C78" s="3"/>
      <c r="D78" s="3"/>
      <c r="E78" s="3"/>
      <c r="F78" s="3"/>
      <c r="G78" s="3"/>
      <c r="H78" s="3"/>
      <c r="I78" s="3"/>
      <c r="J78" s="3"/>
      <c r="K78" s="86"/>
      <c r="L78" s="86"/>
      <c r="M78" s="86"/>
      <c r="N78" s="86"/>
      <c r="O78" s="86"/>
      <c r="P78" s="86"/>
      <c r="Q78" s="86"/>
      <c r="R78" s="86"/>
      <c r="S78" s="86"/>
      <c r="T78" s="86"/>
      <c r="U78" s="86"/>
      <c r="V78" s="3"/>
      <c r="W78" s="3"/>
      <c r="X78" s="3"/>
      <c r="Y78" s="3"/>
      <c r="Z78" s="3"/>
    </row>
    <row r="79" spans="1:26" s="8" customFormat="1" x14ac:dyDescent="0.15">
      <c r="A79" s="3"/>
      <c r="B79" s="3"/>
      <c r="C79" s="3"/>
      <c r="D79" s="3"/>
      <c r="E79" s="3"/>
      <c r="F79" s="3"/>
      <c r="G79" s="3"/>
      <c r="H79" s="3"/>
      <c r="I79" s="3"/>
      <c r="J79" s="3"/>
      <c r="K79" s="86"/>
      <c r="L79" s="86"/>
      <c r="M79" s="86"/>
      <c r="N79" s="86"/>
      <c r="O79" s="86"/>
      <c r="P79" s="86"/>
      <c r="Q79" s="86"/>
      <c r="R79" s="86"/>
      <c r="S79" s="86"/>
      <c r="T79" s="86"/>
      <c r="U79" s="86"/>
      <c r="V79" s="3"/>
      <c r="W79" s="3"/>
      <c r="X79" s="3"/>
      <c r="Y79" s="3"/>
      <c r="Z79" s="3"/>
    </row>
    <row r="80" spans="1:26" s="8" customFormat="1" x14ac:dyDescent="0.15">
      <c r="A80" s="3"/>
      <c r="B80" s="3"/>
      <c r="C80" s="3"/>
      <c r="D80" s="3"/>
      <c r="E80" s="3"/>
      <c r="F80" s="3"/>
      <c r="G80" s="3"/>
      <c r="H80" s="3"/>
      <c r="I80" s="3"/>
      <c r="J80" s="3"/>
      <c r="K80" s="86"/>
      <c r="L80" s="86"/>
      <c r="M80" s="86"/>
      <c r="N80" s="86"/>
      <c r="O80" s="86"/>
      <c r="P80" s="86"/>
      <c r="Q80" s="86"/>
      <c r="R80" s="86"/>
      <c r="S80" s="86"/>
      <c r="T80" s="86"/>
      <c r="U80" s="86"/>
      <c r="V80" s="3"/>
      <c r="W80" s="3"/>
      <c r="X80" s="3"/>
      <c r="Y80" s="3"/>
      <c r="Z80" s="3"/>
    </row>
    <row r="81" spans="1:26" s="8" customFormat="1" x14ac:dyDescent="0.15">
      <c r="A81" s="3"/>
      <c r="B81" s="3"/>
      <c r="C81" s="3"/>
      <c r="D81" s="3"/>
      <c r="E81" s="3"/>
      <c r="F81" s="3"/>
      <c r="G81" s="3"/>
      <c r="H81" s="3"/>
      <c r="I81" s="3"/>
      <c r="J81" s="3"/>
      <c r="K81" s="86"/>
      <c r="L81" s="86"/>
      <c r="M81" s="86"/>
      <c r="N81" s="86"/>
      <c r="O81" s="86"/>
      <c r="P81" s="86"/>
      <c r="Q81" s="86"/>
      <c r="R81" s="86"/>
      <c r="S81" s="86"/>
      <c r="T81" s="86"/>
      <c r="U81" s="86"/>
      <c r="V81" s="3"/>
      <c r="W81" s="3"/>
      <c r="X81" s="3"/>
      <c r="Y81" s="3"/>
      <c r="Z81" s="3"/>
    </row>
    <row r="82" spans="1:26" s="8" customFormat="1" x14ac:dyDescent="0.15">
      <c r="A82" s="3"/>
      <c r="B82" s="3"/>
      <c r="C82" s="3"/>
      <c r="D82" s="3"/>
      <c r="E82" s="3"/>
      <c r="F82" s="3"/>
      <c r="G82" s="3"/>
      <c r="H82" s="3"/>
      <c r="I82" s="3"/>
      <c r="J82" s="3"/>
      <c r="K82" s="86"/>
      <c r="L82" s="86"/>
      <c r="M82" s="86"/>
      <c r="N82" s="86"/>
      <c r="O82" s="86"/>
      <c r="P82" s="86"/>
      <c r="Q82" s="86"/>
      <c r="R82" s="86"/>
      <c r="S82" s="86"/>
      <c r="T82" s="86"/>
      <c r="U82" s="86"/>
      <c r="V82" s="3"/>
      <c r="W82" s="3"/>
      <c r="X82" s="3"/>
      <c r="Y82" s="3"/>
      <c r="Z82" s="3"/>
    </row>
    <row r="83" spans="1:26" s="8" customFormat="1" x14ac:dyDescent="0.15">
      <c r="A83" s="3"/>
      <c r="B83" s="3"/>
      <c r="C83" s="3"/>
      <c r="D83" s="3"/>
      <c r="E83" s="3"/>
      <c r="F83" s="3"/>
      <c r="G83" s="3"/>
      <c r="H83" s="3"/>
      <c r="I83" s="3"/>
      <c r="J83" s="3"/>
      <c r="K83" s="86"/>
      <c r="L83" s="86"/>
      <c r="M83" s="86"/>
      <c r="N83" s="86"/>
      <c r="O83" s="86"/>
      <c r="P83" s="86"/>
      <c r="Q83" s="86"/>
      <c r="R83" s="86"/>
      <c r="S83" s="86"/>
      <c r="T83" s="86"/>
      <c r="U83" s="86"/>
      <c r="V83" s="3"/>
      <c r="W83" s="3"/>
      <c r="X83" s="3"/>
      <c r="Y83" s="3"/>
      <c r="Z83" s="3"/>
    </row>
    <row r="84" spans="1:26" s="8" customFormat="1" x14ac:dyDescent="0.15">
      <c r="A84" s="3"/>
      <c r="B84" s="3"/>
      <c r="C84" s="3"/>
      <c r="D84" s="3"/>
      <c r="E84" s="3"/>
      <c r="F84" s="3"/>
      <c r="G84" s="3"/>
      <c r="H84" s="3"/>
      <c r="I84" s="3"/>
      <c r="J84" s="3"/>
      <c r="K84" s="86"/>
      <c r="L84" s="86"/>
      <c r="M84" s="86"/>
      <c r="N84" s="86"/>
      <c r="O84" s="86"/>
      <c r="P84" s="86"/>
      <c r="Q84" s="86"/>
      <c r="R84" s="86"/>
      <c r="S84" s="86"/>
      <c r="T84" s="86"/>
      <c r="U84" s="86"/>
      <c r="V84" s="3"/>
      <c r="W84" s="3"/>
      <c r="X84" s="3"/>
      <c r="Y84" s="3"/>
      <c r="Z84" s="3"/>
    </row>
    <row r="85" spans="1:26" s="8" customFormat="1" x14ac:dyDescent="0.15">
      <c r="A85" s="3"/>
      <c r="B85" s="3"/>
      <c r="C85" s="3"/>
      <c r="D85" s="3"/>
      <c r="E85" s="3"/>
      <c r="F85" s="3"/>
      <c r="G85" s="3"/>
      <c r="H85" s="3"/>
      <c r="I85" s="3"/>
      <c r="J85" s="3"/>
      <c r="K85" s="86"/>
      <c r="L85" s="86"/>
      <c r="M85" s="86"/>
      <c r="N85" s="86"/>
      <c r="O85" s="86"/>
      <c r="P85" s="86"/>
      <c r="Q85" s="86"/>
      <c r="R85" s="86"/>
      <c r="S85" s="86"/>
      <c r="T85" s="86"/>
      <c r="U85" s="86"/>
      <c r="V85" s="3"/>
      <c r="W85" s="3"/>
      <c r="X85" s="3"/>
      <c r="Y85" s="3"/>
      <c r="Z85" s="3"/>
    </row>
    <row r="86" spans="1:26" s="8" customFormat="1" x14ac:dyDescent="0.15">
      <c r="A86" s="3"/>
      <c r="B86" s="3"/>
      <c r="C86" s="3"/>
      <c r="D86" s="3"/>
      <c r="E86" s="3"/>
      <c r="F86" s="3"/>
      <c r="G86" s="3"/>
      <c r="H86" s="3"/>
      <c r="I86" s="3"/>
      <c r="J86" s="3"/>
      <c r="K86" s="86"/>
      <c r="L86" s="86"/>
      <c r="M86" s="86"/>
      <c r="N86" s="86"/>
      <c r="O86" s="86"/>
      <c r="P86" s="86"/>
      <c r="Q86" s="86"/>
      <c r="R86" s="86"/>
      <c r="S86" s="86"/>
      <c r="T86" s="86"/>
      <c r="U86" s="86"/>
      <c r="V86" s="3"/>
      <c r="W86" s="3"/>
      <c r="X86" s="3"/>
      <c r="Y86" s="3"/>
      <c r="Z86" s="3"/>
    </row>
    <row r="87" spans="1:26" s="8" customFormat="1" x14ac:dyDescent="0.15">
      <c r="A87" s="3"/>
      <c r="B87" s="3"/>
      <c r="C87" s="3"/>
      <c r="D87" s="3"/>
      <c r="E87" s="3"/>
      <c r="F87" s="3"/>
      <c r="G87" s="3"/>
      <c r="H87" s="3"/>
      <c r="I87" s="3"/>
      <c r="J87" s="3"/>
      <c r="K87" s="86"/>
      <c r="L87" s="86"/>
      <c r="M87" s="86"/>
      <c r="N87" s="86"/>
      <c r="O87" s="86"/>
      <c r="P87" s="86"/>
      <c r="Q87" s="86"/>
      <c r="R87" s="86"/>
      <c r="S87" s="86"/>
      <c r="T87" s="86"/>
      <c r="U87" s="86"/>
      <c r="V87" s="3"/>
      <c r="W87" s="3"/>
      <c r="X87" s="3"/>
      <c r="Y87" s="3"/>
      <c r="Z87" s="3"/>
    </row>
    <row r="88" spans="1:26" s="8" customFormat="1" x14ac:dyDescent="0.15">
      <c r="A88" s="3"/>
      <c r="B88" s="3"/>
      <c r="C88" s="3"/>
      <c r="D88" s="3"/>
      <c r="E88" s="3"/>
      <c r="F88" s="3"/>
      <c r="G88" s="3"/>
      <c r="H88" s="3"/>
      <c r="I88" s="3"/>
      <c r="J88" s="3"/>
      <c r="K88" s="86"/>
      <c r="L88" s="86"/>
      <c r="M88" s="86"/>
      <c r="N88" s="86"/>
      <c r="O88" s="86"/>
      <c r="P88" s="86"/>
      <c r="Q88" s="86"/>
      <c r="R88" s="86"/>
      <c r="S88" s="86"/>
      <c r="T88" s="86"/>
      <c r="U88" s="86"/>
      <c r="V88" s="3"/>
      <c r="W88" s="3"/>
      <c r="X88" s="3"/>
      <c r="Y88" s="3"/>
      <c r="Z88" s="3"/>
    </row>
    <row r="89" spans="1:26" s="8" customFormat="1" x14ac:dyDescent="0.15">
      <c r="A89" s="3"/>
      <c r="B89" s="3"/>
      <c r="C89" s="3"/>
      <c r="D89" s="3"/>
      <c r="E89" s="3"/>
      <c r="F89" s="3"/>
      <c r="G89" s="3"/>
      <c r="H89" s="3"/>
      <c r="I89" s="3"/>
      <c r="J89" s="3"/>
      <c r="K89" s="86"/>
      <c r="L89" s="86"/>
      <c r="M89" s="86"/>
      <c r="N89" s="86"/>
      <c r="O89" s="86"/>
      <c r="P89" s="86"/>
      <c r="Q89" s="86"/>
      <c r="R89" s="86"/>
      <c r="S89" s="86"/>
      <c r="T89" s="86"/>
      <c r="U89" s="86"/>
      <c r="V89" s="3"/>
      <c r="W89" s="3"/>
      <c r="X89" s="3"/>
      <c r="Y89" s="3"/>
      <c r="Z89" s="3"/>
    </row>
    <row r="90" spans="1:26" s="8" customFormat="1" x14ac:dyDescent="0.15">
      <c r="A90" s="3"/>
      <c r="B90" s="3"/>
      <c r="C90" s="3"/>
      <c r="D90" s="3"/>
      <c r="E90" s="3"/>
      <c r="F90" s="3"/>
      <c r="G90" s="3"/>
      <c r="H90" s="3"/>
      <c r="I90" s="3"/>
      <c r="J90" s="3"/>
      <c r="K90" s="86"/>
      <c r="L90" s="86"/>
      <c r="M90" s="86"/>
      <c r="N90" s="86"/>
      <c r="O90" s="86"/>
      <c r="P90" s="86"/>
      <c r="Q90" s="86"/>
      <c r="R90" s="86"/>
      <c r="S90" s="86"/>
      <c r="T90" s="86"/>
      <c r="U90" s="86"/>
      <c r="V90" s="3"/>
      <c r="W90" s="3"/>
      <c r="X90" s="3"/>
      <c r="Y90" s="3"/>
      <c r="Z90" s="3"/>
    </row>
    <row r="91" spans="1:26" s="8" customFormat="1" x14ac:dyDescent="0.15">
      <c r="A91" s="3"/>
      <c r="B91" s="3"/>
      <c r="C91" s="3"/>
      <c r="D91" s="3"/>
      <c r="E91" s="3"/>
      <c r="F91" s="3"/>
      <c r="G91" s="3"/>
      <c r="H91" s="3"/>
      <c r="I91" s="3"/>
      <c r="J91" s="3"/>
      <c r="K91" s="86"/>
      <c r="L91" s="86"/>
      <c r="M91" s="86"/>
      <c r="N91" s="86"/>
      <c r="O91" s="86"/>
      <c r="P91" s="86"/>
      <c r="Q91" s="86"/>
      <c r="R91" s="86"/>
      <c r="S91" s="86"/>
      <c r="T91" s="86"/>
      <c r="U91" s="86"/>
      <c r="V91" s="3"/>
      <c r="W91" s="3"/>
      <c r="X91" s="3"/>
      <c r="Y91" s="3"/>
      <c r="Z91" s="3"/>
    </row>
    <row r="92" spans="1:26" s="8" customFormat="1" x14ac:dyDescent="0.15">
      <c r="A92" s="3"/>
      <c r="B92" s="3"/>
      <c r="C92" s="3"/>
      <c r="D92" s="3"/>
      <c r="E92" s="3"/>
      <c r="F92" s="3"/>
      <c r="G92" s="3"/>
      <c r="H92" s="3"/>
      <c r="I92" s="3"/>
      <c r="J92" s="3"/>
      <c r="K92" s="86"/>
      <c r="L92" s="86"/>
      <c r="M92" s="86"/>
      <c r="N92" s="86"/>
      <c r="O92" s="86"/>
      <c r="P92" s="86"/>
      <c r="Q92" s="86"/>
      <c r="R92" s="86"/>
      <c r="S92" s="86"/>
      <c r="T92" s="86"/>
      <c r="U92" s="86"/>
      <c r="V92" s="3"/>
      <c r="W92" s="3"/>
      <c r="X92" s="3"/>
      <c r="Y92" s="3"/>
      <c r="Z92" s="3"/>
    </row>
    <row r="93" spans="1:26" s="8" customFormat="1" x14ac:dyDescent="0.15">
      <c r="A93" s="3"/>
      <c r="B93" s="3"/>
      <c r="C93" s="3"/>
      <c r="D93" s="3"/>
      <c r="E93" s="3"/>
      <c r="F93" s="3"/>
      <c r="G93" s="3"/>
      <c r="H93" s="3"/>
      <c r="I93" s="3"/>
      <c r="J93" s="3"/>
      <c r="K93" s="86"/>
      <c r="L93" s="86"/>
      <c r="M93" s="86"/>
      <c r="N93" s="86"/>
      <c r="O93" s="86"/>
      <c r="P93" s="86"/>
      <c r="Q93" s="86"/>
      <c r="R93" s="86"/>
      <c r="S93" s="86"/>
      <c r="T93" s="86"/>
      <c r="U93" s="86"/>
      <c r="V93" s="3"/>
      <c r="W93" s="3"/>
      <c r="X93" s="3"/>
      <c r="Y93" s="3"/>
      <c r="Z93" s="3"/>
    </row>
    <row r="94" spans="1:26" x14ac:dyDescent="0.15">
      <c r="A94" s="3"/>
      <c r="B94" s="3"/>
      <c r="C94" s="3"/>
      <c r="D94" s="3"/>
      <c r="E94" s="3"/>
      <c r="F94" s="3"/>
      <c r="G94" s="3"/>
      <c r="H94" s="3"/>
      <c r="I94" s="3"/>
      <c r="J94" s="3"/>
      <c r="K94" s="86"/>
      <c r="L94" s="86"/>
      <c r="M94" s="86"/>
      <c r="N94" s="86"/>
      <c r="O94" s="86"/>
      <c r="P94" s="86"/>
      <c r="Q94" s="86"/>
      <c r="R94" s="86"/>
      <c r="S94" s="86"/>
      <c r="T94" s="86"/>
      <c r="U94" s="86"/>
    </row>
    <row r="95" spans="1:26" x14ac:dyDescent="0.15">
      <c r="A95" s="3"/>
      <c r="B95" s="3"/>
      <c r="C95" s="3"/>
      <c r="D95" s="3"/>
      <c r="E95" s="3"/>
      <c r="F95" s="3"/>
      <c r="G95" s="3"/>
      <c r="H95" s="3"/>
      <c r="I95" s="3"/>
      <c r="J95" s="3"/>
      <c r="K95" s="86"/>
      <c r="L95" s="86"/>
      <c r="M95" s="86"/>
      <c r="N95" s="86"/>
      <c r="O95" s="86"/>
      <c r="P95" s="86"/>
      <c r="Q95" s="86"/>
      <c r="R95" s="86"/>
      <c r="S95" s="86"/>
      <c r="T95" s="86"/>
      <c r="U95" s="86"/>
    </row>
    <row r="96" spans="1:26" x14ac:dyDescent="0.15">
      <c r="A96" s="3"/>
      <c r="B96" s="3"/>
      <c r="C96" s="3"/>
      <c r="D96" s="3"/>
      <c r="E96" s="3"/>
      <c r="F96" s="3"/>
      <c r="G96" s="3"/>
      <c r="H96" s="3"/>
      <c r="I96" s="3"/>
      <c r="J96" s="3"/>
      <c r="K96" s="86"/>
      <c r="L96" s="86"/>
      <c r="M96" s="86"/>
      <c r="N96" s="86"/>
      <c r="O96" s="86"/>
      <c r="P96" s="86"/>
      <c r="Q96" s="86"/>
      <c r="R96" s="86"/>
      <c r="S96" s="86"/>
      <c r="T96" s="86"/>
      <c r="U96" s="86"/>
    </row>
    <row r="97" spans="1:21" x14ac:dyDescent="0.15">
      <c r="A97" s="3"/>
      <c r="B97" s="3"/>
      <c r="C97" s="3"/>
      <c r="D97" s="3"/>
      <c r="E97" s="3"/>
      <c r="F97" s="3"/>
      <c r="G97" s="3"/>
      <c r="H97" s="3"/>
      <c r="I97" s="3"/>
      <c r="J97" s="3"/>
      <c r="K97" s="86"/>
      <c r="L97" s="86"/>
      <c r="M97" s="86"/>
      <c r="N97" s="86"/>
      <c r="O97" s="86"/>
      <c r="P97" s="86"/>
      <c r="Q97" s="86"/>
      <c r="R97" s="86"/>
      <c r="S97" s="86"/>
      <c r="T97" s="86"/>
      <c r="U97" s="86"/>
    </row>
    <row r="98" spans="1:21" x14ac:dyDescent="0.15">
      <c r="A98" s="3"/>
      <c r="B98" s="3"/>
      <c r="C98" s="3"/>
      <c r="D98" s="3"/>
      <c r="E98" s="3"/>
      <c r="F98" s="3"/>
      <c r="G98" s="3"/>
      <c r="H98" s="3"/>
      <c r="I98" s="3"/>
      <c r="J98" s="3"/>
      <c r="K98" s="86"/>
      <c r="L98" s="86"/>
      <c r="M98" s="86"/>
      <c r="N98" s="86"/>
      <c r="O98" s="86"/>
      <c r="P98" s="86"/>
      <c r="Q98" s="86"/>
      <c r="R98" s="86"/>
      <c r="S98" s="86"/>
      <c r="T98" s="86"/>
      <c r="U98" s="86"/>
    </row>
    <row r="99" spans="1:21" x14ac:dyDescent="0.15">
      <c r="A99" s="3"/>
      <c r="B99" s="3"/>
      <c r="C99" s="3"/>
      <c r="D99" s="3"/>
      <c r="E99" s="3"/>
      <c r="F99" s="3"/>
      <c r="G99" s="3"/>
      <c r="H99" s="3"/>
      <c r="I99" s="3"/>
      <c r="J99" s="3"/>
      <c r="K99" s="86"/>
      <c r="L99" s="86"/>
      <c r="M99" s="86"/>
      <c r="N99" s="86"/>
      <c r="O99" s="86"/>
      <c r="P99" s="86"/>
      <c r="Q99" s="86"/>
      <c r="R99" s="86"/>
      <c r="S99" s="86"/>
      <c r="T99" s="86"/>
      <c r="U99" s="86"/>
    </row>
    <row r="100" spans="1:21" x14ac:dyDescent="0.15">
      <c r="A100" s="3"/>
      <c r="B100" s="3"/>
      <c r="C100" s="3"/>
      <c r="D100" s="3"/>
      <c r="E100" s="3"/>
      <c r="F100" s="3"/>
      <c r="G100" s="3"/>
      <c r="H100" s="3"/>
      <c r="I100" s="3"/>
      <c r="J100" s="3"/>
      <c r="K100" s="86"/>
      <c r="L100" s="86"/>
      <c r="M100" s="86"/>
      <c r="N100" s="86"/>
      <c r="O100" s="86"/>
      <c r="P100" s="86"/>
      <c r="Q100" s="86"/>
      <c r="R100" s="86"/>
      <c r="S100" s="86"/>
      <c r="T100" s="86"/>
      <c r="U100" s="86"/>
    </row>
    <row r="101" spans="1:21" x14ac:dyDescent="0.15">
      <c r="A101" s="3"/>
      <c r="B101" s="3"/>
      <c r="C101" s="3"/>
      <c r="D101" s="3"/>
      <c r="E101" s="3"/>
      <c r="F101" s="3"/>
      <c r="G101" s="3"/>
      <c r="H101" s="3"/>
      <c r="I101" s="3"/>
      <c r="J101" s="3"/>
      <c r="K101" s="86"/>
      <c r="L101" s="86"/>
      <c r="M101" s="86"/>
      <c r="N101" s="86"/>
      <c r="O101" s="86"/>
      <c r="P101" s="86"/>
      <c r="Q101" s="86"/>
      <c r="R101" s="86"/>
      <c r="S101" s="86"/>
      <c r="T101" s="86"/>
      <c r="U101" s="86"/>
    </row>
    <row r="102" spans="1:21" x14ac:dyDescent="0.15">
      <c r="A102" s="3"/>
      <c r="B102" s="3"/>
      <c r="C102" s="3"/>
      <c r="D102" s="3"/>
      <c r="E102" s="3"/>
      <c r="F102" s="3"/>
      <c r="G102" s="3"/>
      <c r="H102" s="3"/>
      <c r="I102" s="3"/>
      <c r="J102" s="3"/>
      <c r="K102" s="86"/>
      <c r="L102" s="86"/>
      <c r="M102" s="86"/>
      <c r="N102" s="86"/>
      <c r="O102" s="86"/>
      <c r="P102" s="86"/>
      <c r="Q102" s="86"/>
      <c r="R102" s="86"/>
      <c r="S102" s="86"/>
      <c r="T102" s="86"/>
      <c r="U102" s="86"/>
    </row>
    <row r="103" spans="1:21" x14ac:dyDescent="0.15">
      <c r="A103" s="3"/>
      <c r="B103" s="3"/>
      <c r="C103" s="3"/>
      <c r="D103" s="3"/>
      <c r="E103" s="3"/>
      <c r="F103" s="3"/>
      <c r="G103" s="3"/>
      <c r="H103" s="3"/>
      <c r="I103" s="3"/>
      <c r="J103" s="3"/>
      <c r="K103" s="86"/>
      <c r="L103" s="86"/>
      <c r="M103" s="86"/>
      <c r="N103" s="86"/>
      <c r="O103" s="86"/>
      <c r="P103" s="86"/>
      <c r="Q103" s="86"/>
      <c r="R103" s="86"/>
      <c r="S103" s="86"/>
      <c r="T103" s="86"/>
      <c r="U103" s="86"/>
    </row>
    <row r="104" spans="1:21" x14ac:dyDescent="0.15">
      <c r="A104" s="3"/>
      <c r="B104" s="3"/>
      <c r="C104" s="3"/>
      <c r="D104" s="3"/>
      <c r="E104" s="3"/>
      <c r="F104" s="3"/>
      <c r="G104" s="3"/>
      <c r="H104" s="3"/>
      <c r="I104" s="3"/>
      <c r="J104" s="3"/>
      <c r="K104" s="86"/>
      <c r="L104" s="86"/>
      <c r="M104" s="86"/>
      <c r="N104" s="86"/>
      <c r="O104" s="86"/>
      <c r="P104" s="86"/>
      <c r="Q104" s="86"/>
      <c r="R104" s="86"/>
      <c r="S104" s="86"/>
      <c r="T104" s="86"/>
      <c r="U104" s="86"/>
    </row>
    <row r="105" spans="1:21" x14ac:dyDescent="0.15">
      <c r="A105" s="3"/>
      <c r="B105" s="3"/>
      <c r="C105" s="3"/>
      <c r="D105" s="3"/>
      <c r="E105" s="3"/>
      <c r="F105" s="3"/>
      <c r="G105" s="3"/>
      <c r="H105" s="3"/>
      <c r="I105" s="3"/>
      <c r="J105" s="3"/>
      <c r="K105" s="86"/>
      <c r="L105" s="86"/>
      <c r="M105" s="86"/>
      <c r="N105" s="86"/>
      <c r="O105" s="86"/>
      <c r="P105" s="86"/>
      <c r="Q105" s="86"/>
      <c r="R105" s="86"/>
      <c r="S105" s="86"/>
      <c r="T105" s="86"/>
      <c r="U105" s="86"/>
    </row>
    <row r="106" spans="1:21" x14ac:dyDescent="0.15">
      <c r="A106" s="3"/>
      <c r="B106" s="3"/>
      <c r="C106" s="3"/>
      <c r="D106" s="3"/>
      <c r="E106" s="3"/>
      <c r="F106" s="3"/>
      <c r="G106" s="3"/>
      <c r="H106" s="3"/>
      <c r="I106" s="3"/>
      <c r="J106" s="3"/>
      <c r="K106" s="86"/>
      <c r="L106" s="86"/>
      <c r="M106" s="86"/>
      <c r="N106" s="86"/>
      <c r="O106" s="86"/>
      <c r="P106" s="86"/>
      <c r="Q106" s="86"/>
      <c r="R106" s="86"/>
      <c r="S106" s="86"/>
      <c r="T106" s="86"/>
      <c r="U106" s="86"/>
    </row>
    <row r="107" spans="1:21" x14ac:dyDescent="0.15">
      <c r="A107" s="3"/>
      <c r="B107" s="3"/>
      <c r="C107" s="3"/>
      <c r="D107" s="3"/>
      <c r="E107" s="3"/>
      <c r="F107" s="3"/>
      <c r="G107" s="3"/>
      <c r="H107" s="3"/>
      <c r="I107" s="3"/>
      <c r="J107" s="3"/>
      <c r="K107" s="86"/>
      <c r="L107" s="86"/>
      <c r="M107" s="86"/>
      <c r="N107" s="86"/>
      <c r="O107" s="86"/>
      <c r="P107" s="86"/>
      <c r="Q107" s="86"/>
      <c r="R107" s="86"/>
      <c r="S107" s="86"/>
      <c r="T107" s="86"/>
      <c r="U107" s="86"/>
    </row>
    <row r="108" spans="1:21" x14ac:dyDescent="0.15">
      <c r="A108" s="3"/>
      <c r="B108" s="3"/>
      <c r="C108" s="3"/>
      <c r="D108" s="3"/>
      <c r="E108" s="3"/>
      <c r="F108" s="3"/>
      <c r="G108" s="3"/>
      <c r="H108" s="3"/>
      <c r="I108" s="3"/>
      <c r="J108" s="3"/>
      <c r="K108" s="86"/>
      <c r="L108" s="86"/>
      <c r="M108" s="86"/>
      <c r="N108" s="86"/>
      <c r="O108" s="86"/>
      <c r="P108" s="86"/>
      <c r="Q108" s="86"/>
      <c r="R108" s="86"/>
      <c r="S108" s="86"/>
      <c r="T108" s="86"/>
      <c r="U108" s="86"/>
    </row>
    <row r="109" spans="1:21" x14ac:dyDescent="0.15">
      <c r="A109" s="3"/>
      <c r="B109" s="3"/>
      <c r="C109" s="3"/>
      <c r="D109" s="3"/>
      <c r="E109" s="3"/>
      <c r="F109" s="3"/>
      <c r="G109" s="3"/>
      <c r="H109" s="3"/>
      <c r="I109" s="3"/>
      <c r="J109" s="3"/>
      <c r="K109" s="86"/>
      <c r="L109" s="86"/>
      <c r="M109" s="86"/>
      <c r="N109" s="86"/>
      <c r="O109" s="86"/>
      <c r="P109" s="86"/>
      <c r="Q109" s="86"/>
      <c r="R109" s="86"/>
      <c r="S109" s="86"/>
      <c r="T109" s="86"/>
      <c r="U109" s="86"/>
    </row>
    <row r="110" spans="1:21" x14ac:dyDescent="0.15">
      <c r="A110" s="3"/>
      <c r="B110" s="3"/>
      <c r="C110" s="3"/>
      <c r="D110" s="3"/>
      <c r="E110" s="3"/>
      <c r="F110" s="3"/>
      <c r="G110" s="3"/>
      <c r="H110" s="3"/>
      <c r="I110" s="3"/>
      <c r="J110" s="3"/>
      <c r="K110" s="86"/>
      <c r="L110" s="86"/>
      <c r="M110" s="86"/>
      <c r="N110" s="86"/>
      <c r="O110" s="86"/>
      <c r="P110" s="86"/>
      <c r="Q110" s="86"/>
      <c r="R110" s="86"/>
      <c r="S110" s="86"/>
      <c r="T110" s="86"/>
      <c r="U110" s="86"/>
    </row>
    <row r="111" spans="1:21" x14ac:dyDescent="0.15">
      <c r="A111" s="3"/>
      <c r="B111" s="3"/>
      <c r="C111" s="3"/>
      <c r="D111" s="3"/>
      <c r="E111" s="3"/>
      <c r="F111" s="3"/>
      <c r="G111" s="3"/>
      <c r="H111" s="3"/>
      <c r="I111" s="3"/>
      <c r="J111" s="3"/>
      <c r="K111" s="86"/>
      <c r="L111" s="86"/>
      <c r="M111" s="86"/>
      <c r="N111" s="86"/>
      <c r="O111" s="86"/>
      <c r="P111" s="86"/>
      <c r="Q111" s="86"/>
      <c r="R111" s="86"/>
      <c r="S111" s="86"/>
      <c r="T111" s="86"/>
      <c r="U111" s="86"/>
    </row>
    <row r="112" spans="1:21" x14ac:dyDescent="0.15">
      <c r="A112" s="3"/>
      <c r="B112" s="3"/>
      <c r="C112" s="3"/>
      <c r="D112" s="3"/>
      <c r="E112" s="3"/>
      <c r="F112" s="3"/>
      <c r="G112" s="3"/>
      <c r="H112" s="3"/>
      <c r="I112" s="3"/>
      <c r="J112" s="3"/>
      <c r="K112" s="86"/>
      <c r="L112" s="86"/>
      <c r="M112" s="86"/>
      <c r="N112" s="86"/>
      <c r="O112" s="86"/>
      <c r="P112" s="86"/>
      <c r="Q112" s="86"/>
      <c r="R112" s="86"/>
      <c r="S112" s="86"/>
      <c r="T112" s="86"/>
      <c r="U112" s="86"/>
    </row>
    <row r="113" spans="1:21" x14ac:dyDescent="0.15">
      <c r="A113" s="3"/>
      <c r="B113" s="3"/>
      <c r="C113" s="3"/>
      <c r="D113" s="3"/>
      <c r="E113" s="3"/>
      <c r="F113" s="3"/>
      <c r="G113" s="3"/>
      <c r="H113" s="3"/>
      <c r="I113" s="3"/>
      <c r="J113" s="3"/>
      <c r="K113" s="86"/>
      <c r="L113" s="86"/>
      <c r="M113" s="86"/>
      <c r="N113" s="86"/>
      <c r="O113" s="86"/>
      <c r="P113" s="86"/>
      <c r="Q113" s="86"/>
      <c r="R113" s="86"/>
      <c r="S113" s="86"/>
      <c r="T113" s="86"/>
      <c r="U113" s="86"/>
    </row>
    <row r="114" spans="1:21" x14ac:dyDescent="0.15">
      <c r="A114" s="3"/>
      <c r="B114" s="3"/>
      <c r="C114" s="3"/>
      <c r="D114" s="3"/>
      <c r="E114" s="3"/>
      <c r="F114" s="3"/>
      <c r="G114" s="3"/>
      <c r="H114" s="3"/>
      <c r="I114" s="3"/>
      <c r="J114" s="3"/>
      <c r="K114" s="86"/>
      <c r="L114" s="86"/>
      <c r="M114" s="86"/>
      <c r="N114" s="86"/>
      <c r="O114" s="86"/>
      <c r="P114" s="86"/>
      <c r="Q114" s="86"/>
      <c r="R114" s="86"/>
      <c r="S114" s="86"/>
      <c r="T114" s="86"/>
      <c r="U114" s="86"/>
    </row>
    <row r="115" spans="1:21" x14ac:dyDescent="0.15">
      <c r="A115" s="3"/>
      <c r="B115" s="3"/>
      <c r="C115" s="3"/>
      <c r="D115" s="3"/>
      <c r="E115" s="3"/>
      <c r="F115" s="3"/>
      <c r="G115" s="3"/>
      <c r="H115" s="3"/>
      <c r="I115" s="3"/>
      <c r="J115" s="3"/>
      <c r="K115" s="86"/>
      <c r="L115" s="86"/>
      <c r="M115" s="86"/>
      <c r="N115" s="86"/>
      <c r="O115" s="86"/>
      <c r="P115" s="86"/>
      <c r="Q115" s="86"/>
      <c r="R115" s="86"/>
      <c r="S115" s="86"/>
      <c r="T115" s="86"/>
      <c r="U115" s="86"/>
    </row>
    <row r="116" spans="1:21" x14ac:dyDescent="0.15">
      <c r="A116" s="3"/>
      <c r="B116" s="3"/>
      <c r="C116" s="3"/>
      <c r="D116" s="3"/>
      <c r="E116" s="3"/>
      <c r="F116" s="3"/>
      <c r="G116" s="3"/>
      <c r="H116" s="3"/>
      <c r="I116" s="3"/>
      <c r="J116" s="3"/>
      <c r="K116" s="86"/>
      <c r="L116" s="86"/>
      <c r="M116" s="86"/>
      <c r="N116" s="86"/>
      <c r="O116" s="86"/>
      <c r="P116" s="86"/>
      <c r="Q116" s="86"/>
      <c r="R116" s="86"/>
      <c r="S116" s="86"/>
      <c r="T116" s="86"/>
      <c r="U116" s="86"/>
    </row>
    <row r="117" spans="1:21" x14ac:dyDescent="0.15">
      <c r="A117" s="3"/>
      <c r="B117" s="3"/>
      <c r="C117" s="3"/>
      <c r="D117" s="3"/>
      <c r="E117" s="3"/>
      <c r="F117" s="3"/>
      <c r="G117" s="3"/>
      <c r="H117" s="3"/>
      <c r="I117" s="3"/>
      <c r="J117" s="3"/>
      <c r="K117" s="86"/>
      <c r="L117" s="86"/>
      <c r="M117" s="86"/>
      <c r="N117" s="86"/>
      <c r="O117" s="86"/>
      <c r="P117" s="86"/>
      <c r="Q117" s="86"/>
      <c r="R117" s="86"/>
      <c r="S117" s="86"/>
      <c r="T117" s="86"/>
      <c r="U117" s="86"/>
    </row>
    <row r="118" spans="1:21" x14ac:dyDescent="0.15">
      <c r="A118" s="3"/>
      <c r="B118" s="3"/>
      <c r="C118" s="3"/>
      <c r="D118" s="3"/>
      <c r="E118" s="3"/>
      <c r="F118" s="3"/>
      <c r="G118" s="3"/>
      <c r="H118" s="3"/>
      <c r="I118" s="3"/>
      <c r="J118" s="3"/>
      <c r="K118" s="86"/>
      <c r="L118" s="86"/>
      <c r="M118" s="86"/>
      <c r="N118" s="86"/>
      <c r="O118" s="86"/>
      <c r="P118" s="86"/>
      <c r="Q118" s="86"/>
      <c r="R118" s="86"/>
      <c r="S118" s="86"/>
      <c r="T118" s="86"/>
      <c r="U118" s="86"/>
    </row>
    <row r="119" spans="1:21" x14ac:dyDescent="0.15">
      <c r="A119" s="3"/>
      <c r="B119" s="3"/>
      <c r="C119" s="3"/>
      <c r="D119" s="3"/>
      <c r="E119" s="3"/>
      <c r="F119" s="3"/>
      <c r="G119" s="3"/>
      <c r="H119" s="3"/>
      <c r="I119" s="3"/>
      <c r="J119" s="3"/>
      <c r="K119" s="86"/>
      <c r="L119" s="86"/>
      <c r="M119" s="86"/>
      <c r="N119" s="86"/>
      <c r="O119" s="86"/>
      <c r="P119" s="86"/>
      <c r="Q119" s="86"/>
      <c r="R119" s="86"/>
      <c r="S119" s="86"/>
      <c r="T119" s="86"/>
      <c r="U119" s="86"/>
    </row>
    <row r="120" spans="1:21" x14ac:dyDescent="0.15">
      <c r="A120" s="3"/>
      <c r="B120" s="3"/>
      <c r="C120" s="3"/>
      <c r="D120" s="3"/>
      <c r="E120" s="3"/>
      <c r="F120" s="3"/>
      <c r="G120" s="3"/>
      <c r="H120" s="3"/>
      <c r="I120" s="3"/>
      <c r="J120" s="3"/>
      <c r="K120" s="86"/>
      <c r="L120" s="86"/>
      <c r="M120" s="86"/>
      <c r="N120" s="86"/>
      <c r="O120" s="86"/>
      <c r="P120" s="86"/>
      <c r="Q120" s="86"/>
      <c r="R120" s="86"/>
      <c r="S120" s="86"/>
      <c r="T120" s="86"/>
      <c r="U120" s="86"/>
    </row>
    <row r="121" spans="1:21" x14ac:dyDescent="0.15">
      <c r="A121" s="3"/>
      <c r="B121" s="3"/>
      <c r="C121" s="3"/>
      <c r="D121" s="3"/>
      <c r="E121" s="3"/>
      <c r="F121" s="3"/>
      <c r="G121" s="3"/>
      <c r="H121" s="3"/>
      <c r="I121" s="3"/>
      <c r="J121" s="3"/>
      <c r="K121" s="86"/>
      <c r="L121" s="86"/>
      <c r="M121" s="86"/>
      <c r="N121" s="86"/>
      <c r="O121" s="86"/>
      <c r="P121" s="86"/>
      <c r="Q121" s="86"/>
      <c r="R121" s="86"/>
      <c r="S121" s="86"/>
      <c r="T121" s="86"/>
      <c r="U121" s="86"/>
    </row>
    <row r="122" spans="1:21" x14ac:dyDescent="0.15">
      <c r="A122" s="3"/>
      <c r="B122" s="3"/>
      <c r="C122" s="3"/>
      <c r="D122" s="3"/>
      <c r="E122" s="3"/>
      <c r="F122" s="3"/>
      <c r="G122" s="3"/>
      <c r="H122" s="3"/>
      <c r="I122" s="3"/>
      <c r="J122" s="3"/>
      <c r="K122" s="86"/>
      <c r="L122" s="86"/>
      <c r="M122" s="86"/>
      <c r="N122" s="86"/>
      <c r="O122" s="86"/>
      <c r="P122" s="86"/>
      <c r="Q122" s="86"/>
      <c r="R122" s="86"/>
      <c r="S122" s="86"/>
      <c r="T122" s="86"/>
      <c r="U122" s="86"/>
    </row>
    <row r="123" spans="1:21" x14ac:dyDescent="0.15">
      <c r="A123" s="3"/>
      <c r="B123" s="3"/>
      <c r="C123" s="3"/>
      <c r="D123" s="3"/>
      <c r="E123" s="3"/>
      <c r="F123" s="3"/>
      <c r="G123" s="3"/>
      <c r="H123" s="3"/>
      <c r="I123" s="3"/>
      <c r="J123" s="3"/>
      <c r="K123" s="86"/>
      <c r="L123" s="86"/>
      <c r="M123" s="86"/>
      <c r="N123" s="86"/>
      <c r="O123" s="86"/>
      <c r="P123" s="86"/>
      <c r="Q123" s="86"/>
      <c r="R123" s="86"/>
      <c r="S123" s="86"/>
      <c r="T123" s="86"/>
      <c r="U123" s="86"/>
    </row>
    <row r="124" spans="1:21" x14ac:dyDescent="0.15">
      <c r="A124" s="3"/>
      <c r="B124" s="3"/>
      <c r="C124" s="3"/>
      <c r="D124" s="3"/>
      <c r="E124" s="3"/>
      <c r="F124" s="3"/>
      <c r="G124" s="3"/>
      <c r="H124" s="3"/>
      <c r="I124" s="3"/>
      <c r="J124" s="3"/>
      <c r="K124" s="86"/>
      <c r="L124" s="86"/>
      <c r="M124" s="86"/>
      <c r="N124" s="86"/>
      <c r="O124" s="86"/>
      <c r="P124" s="86"/>
      <c r="Q124" s="86"/>
      <c r="R124" s="86"/>
      <c r="S124" s="86"/>
      <c r="T124" s="86"/>
      <c r="U124" s="86"/>
    </row>
    <row r="125" spans="1:21" x14ac:dyDescent="0.15">
      <c r="A125" s="3"/>
      <c r="B125" s="3"/>
      <c r="C125" s="3"/>
      <c r="D125" s="3"/>
      <c r="E125" s="3"/>
      <c r="F125" s="3"/>
      <c r="G125" s="3"/>
      <c r="H125" s="3"/>
      <c r="I125" s="3"/>
      <c r="J125" s="3"/>
      <c r="K125" s="86"/>
      <c r="L125" s="86"/>
      <c r="M125" s="86"/>
      <c r="N125" s="86"/>
      <c r="O125" s="86"/>
      <c r="P125" s="86"/>
      <c r="Q125" s="86"/>
      <c r="R125" s="86"/>
      <c r="S125" s="86"/>
      <c r="T125" s="86"/>
      <c r="U125" s="86"/>
    </row>
    <row r="126" spans="1:21" x14ac:dyDescent="0.15">
      <c r="A126" s="3"/>
      <c r="B126" s="3"/>
      <c r="C126" s="3"/>
      <c r="D126" s="3"/>
      <c r="E126" s="3"/>
      <c r="F126" s="3"/>
      <c r="G126" s="3"/>
      <c r="H126" s="3"/>
      <c r="I126" s="3"/>
      <c r="J126" s="3"/>
      <c r="K126" s="86"/>
      <c r="L126" s="86"/>
      <c r="M126" s="86"/>
      <c r="N126" s="86"/>
      <c r="O126" s="86"/>
      <c r="P126" s="86"/>
      <c r="Q126" s="86"/>
      <c r="R126" s="86"/>
      <c r="S126" s="86"/>
      <c r="T126" s="86"/>
      <c r="U126" s="86"/>
    </row>
    <row r="127" spans="1:21" x14ac:dyDescent="0.15">
      <c r="A127" s="3"/>
      <c r="B127" s="3"/>
      <c r="C127" s="3"/>
      <c r="D127" s="3"/>
      <c r="E127" s="3"/>
      <c r="F127" s="3"/>
      <c r="G127" s="3"/>
      <c r="H127" s="3"/>
      <c r="I127" s="3"/>
      <c r="J127" s="3"/>
      <c r="K127" s="86"/>
      <c r="L127" s="86"/>
      <c r="M127" s="86"/>
      <c r="N127" s="86"/>
      <c r="O127" s="86"/>
      <c r="P127" s="86"/>
      <c r="Q127" s="86"/>
      <c r="R127" s="86"/>
      <c r="S127" s="86"/>
      <c r="T127" s="86"/>
      <c r="U127" s="86"/>
    </row>
    <row r="128" spans="1:21" x14ac:dyDescent="0.15">
      <c r="A128" s="3"/>
      <c r="B128" s="3"/>
      <c r="C128" s="3"/>
      <c r="D128" s="3"/>
      <c r="E128" s="3"/>
      <c r="F128" s="3"/>
      <c r="G128" s="3"/>
      <c r="H128" s="3"/>
      <c r="I128" s="3"/>
      <c r="J128" s="3"/>
      <c r="K128" s="86"/>
      <c r="L128" s="86"/>
      <c r="M128" s="86"/>
      <c r="N128" s="86"/>
      <c r="O128" s="86"/>
      <c r="P128" s="86"/>
      <c r="Q128" s="86"/>
      <c r="R128" s="86"/>
      <c r="S128" s="86"/>
      <c r="T128" s="86"/>
      <c r="U128" s="86"/>
    </row>
    <row r="129" spans="1:21" x14ac:dyDescent="0.15">
      <c r="A129" s="3"/>
      <c r="B129" s="3"/>
      <c r="C129" s="3"/>
      <c r="D129" s="3"/>
      <c r="E129" s="3"/>
      <c r="F129" s="3"/>
      <c r="G129" s="3"/>
      <c r="H129" s="3"/>
      <c r="I129" s="3"/>
      <c r="J129" s="3"/>
      <c r="K129" s="86"/>
      <c r="L129" s="86"/>
      <c r="M129" s="86"/>
      <c r="N129" s="86"/>
      <c r="O129" s="86"/>
      <c r="P129" s="86"/>
      <c r="Q129" s="86"/>
      <c r="R129" s="86"/>
      <c r="S129" s="86"/>
      <c r="T129" s="86"/>
      <c r="U129" s="86"/>
    </row>
    <row r="130" spans="1:21" x14ac:dyDescent="0.15">
      <c r="A130" s="3"/>
      <c r="B130" s="3"/>
      <c r="C130" s="3"/>
      <c r="D130" s="3"/>
      <c r="E130" s="3"/>
      <c r="F130" s="3"/>
      <c r="G130" s="3"/>
      <c r="H130" s="3"/>
      <c r="I130" s="3"/>
      <c r="J130" s="3"/>
      <c r="K130" s="86"/>
      <c r="L130" s="86"/>
      <c r="M130" s="86"/>
      <c r="N130" s="86"/>
      <c r="O130" s="86"/>
      <c r="P130" s="86"/>
      <c r="Q130" s="86"/>
      <c r="R130" s="86"/>
      <c r="S130" s="86"/>
      <c r="T130" s="86"/>
      <c r="U130" s="86"/>
    </row>
    <row r="131" spans="1:21" x14ac:dyDescent="0.15">
      <c r="A131" s="3"/>
      <c r="B131" s="3"/>
      <c r="C131" s="3"/>
      <c r="D131" s="3"/>
      <c r="E131" s="3"/>
      <c r="F131" s="3"/>
      <c r="G131" s="3"/>
      <c r="H131" s="3"/>
      <c r="I131" s="3"/>
      <c r="J131" s="3"/>
      <c r="K131" s="86"/>
      <c r="L131" s="86"/>
      <c r="M131" s="86"/>
      <c r="N131" s="86"/>
      <c r="O131" s="86"/>
      <c r="P131" s="86"/>
      <c r="Q131" s="86"/>
      <c r="R131" s="86"/>
      <c r="S131" s="86"/>
      <c r="T131" s="86"/>
      <c r="U131" s="86"/>
    </row>
    <row r="132" spans="1:21" x14ac:dyDescent="0.15">
      <c r="A132" s="3"/>
      <c r="B132" s="3"/>
      <c r="C132" s="3"/>
      <c r="D132" s="3"/>
      <c r="E132" s="3"/>
      <c r="F132" s="3"/>
      <c r="G132" s="3"/>
      <c r="H132" s="3"/>
      <c r="I132" s="3"/>
      <c r="J132" s="3"/>
      <c r="K132" s="86"/>
      <c r="L132" s="86"/>
      <c r="M132" s="86"/>
      <c r="N132" s="86"/>
      <c r="O132" s="86"/>
      <c r="P132" s="86"/>
      <c r="Q132" s="86"/>
      <c r="R132" s="86"/>
      <c r="S132" s="86"/>
      <c r="T132" s="86"/>
      <c r="U132" s="86"/>
    </row>
    <row r="133" spans="1:21" x14ac:dyDescent="0.15">
      <c r="A133" s="3"/>
      <c r="B133" s="3"/>
      <c r="C133" s="3"/>
      <c r="D133" s="3"/>
      <c r="E133" s="3"/>
      <c r="F133" s="3"/>
      <c r="G133" s="3"/>
      <c r="H133" s="3"/>
      <c r="I133" s="3"/>
      <c r="J133" s="3"/>
      <c r="K133" s="86"/>
      <c r="L133" s="86"/>
      <c r="M133" s="86"/>
      <c r="N133" s="86"/>
      <c r="O133" s="86"/>
      <c r="P133" s="86"/>
      <c r="Q133" s="86"/>
      <c r="R133" s="86"/>
      <c r="S133" s="86"/>
      <c r="T133" s="86"/>
      <c r="U133" s="86"/>
    </row>
    <row r="134" spans="1:21" x14ac:dyDescent="0.15">
      <c r="A134" s="3"/>
      <c r="B134" s="3"/>
      <c r="C134" s="3"/>
      <c r="D134" s="3"/>
      <c r="E134" s="3"/>
      <c r="F134" s="3"/>
      <c r="G134" s="3"/>
      <c r="H134" s="3"/>
      <c r="I134" s="3"/>
      <c r="J134" s="3"/>
      <c r="K134" s="86"/>
      <c r="L134" s="86"/>
      <c r="M134" s="86"/>
      <c r="N134" s="86"/>
      <c r="O134" s="86"/>
      <c r="P134" s="86"/>
      <c r="Q134" s="86"/>
      <c r="R134" s="86"/>
      <c r="S134" s="86"/>
      <c r="T134" s="86"/>
      <c r="U134" s="86"/>
    </row>
    <row r="135" spans="1:21" x14ac:dyDescent="0.15">
      <c r="A135" s="3"/>
      <c r="B135" s="3"/>
      <c r="C135" s="3"/>
      <c r="D135" s="3"/>
      <c r="E135" s="3"/>
      <c r="F135" s="3"/>
      <c r="G135" s="3"/>
      <c r="H135" s="3"/>
      <c r="I135" s="3"/>
      <c r="J135" s="3"/>
      <c r="K135" s="86"/>
      <c r="L135" s="86"/>
      <c r="M135" s="86"/>
      <c r="N135" s="86"/>
      <c r="O135" s="86"/>
      <c r="P135" s="86"/>
      <c r="Q135" s="86"/>
      <c r="R135" s="86"/>
      <c r="S135" s="86"/>
      <c r="T135" s="86"/>
      <c r="U135" s="86"/>
    </row>
    <row r="136" spans="1:21" x14ac:dyDescent="0.15">
      <c r="A136" s="3"/>
      <c r="B136" s="3"/>
      <c r="C136" s="3"/>
      <c r="D136" s="3"/>
      <c r="E136" s="3"/>
      <c r="F136" s="3"/>
      <c r="G136" s="3"/>
      <c r="H136" s="3"/>
      <c r="I136" s="3"/>
      <c r="J136" s="3"/>
      <c r="K136" s="86"/>
      <c r="L136" s="86"/>
      <c r="M136" s="86"/>
      <c r="N136" s="86"/>
      <c r="O136" s="86"/>
      <c r="P136" s="86"/>
      <c r="Q136" s="86"/>
      <c r="R136" s="86"/>
      <c r="S136" s="86"/>
      <c r="T136" s="86"/>
      <c r="U136" s="86"/>
    </row>
    <row r="137" spans="1:21" x14ac:dyDescent="0.15">
      <c r="A137" s="3"/>
      <c r="B137" s="3"/>
      <c r="C137" s="3"/>
      <c r="D137" s="3"/>
      <c r="E137" s="3"/>
      <c r="F137" s="3"/>
      <c r="G137" s="3"/>
      <c r="H137" s="3"/>
      <c r="I137" s="3"/>
      <c r="J137" s="3"/>
      <c r="K137" s="86"/>
      <c r="L137" s="86"/>
      <c r="M137" s="86"/>
      <c r="N137" s="86"/>
      <c r="O137" s="86"/>
      <c r="P137" s="86"/>
      <c r="Q137" s="86"/>
      <c r="R137" s="86"/>
      <c r="S137" s="86"/>
      <c r="T137" s="86"/>
      <c r="U137" s="86"/>
    </row>
    <row r="138" spans="1:21" x14ac:dyDescent="0.15">
      <c r="A138" s="3"/>
      <c r="B138" s="3"/>
      <c r="C138" s="3"/>
      <c r="D138" s="3"/>
      <c r="E138" s="3"/>
      <c r="F138" s="3"/>
      <c r="G138" s="3"/>
      <c r="H138" s="3"/>
      <c r="I138" s="3"/>
      <c r="J138" s="3"/>
      <c r="K138" s="86"/>
      <c r="L138" s="86"/>
      <c r="M138" s="86"/>
      <c r="N138" s="86"/>
      <c r="O138" s="86"/>
      <c r="P138" s="86"/>
      <c r="Q138" s="86"/>
      <c r="R138" s="86"/>
      <c r="S138" s="86"/>
      <c r="T138" s="86"/>
      <c r="U138" s="86"/>
    </row>
    <row r="139" spans="1:21" x14ac:dyDescent="0.15">
      <c r="A139" s="3"/>
      <c r="B139" s="3"/>
      <c r="C139" s="3"/>
      <c r="D139" s="3"/>
      <c r="E139" s="3"/>
      <c r="F139" s="3"/>
      <c r="G139" s="3"/>
      <c r="H139" s="3"/>
      <c r="I139" s="3"/>
      <c r="J139" s="3"/>
      <c r="K139" s="86"/>
      <c r="L139" s="86"/>
      <c r="M139" s="86"/>
      <c r="N139" s="86"/>
      <c r="O139" s="86"/>
      <c r="P139" s="86"/>
      <c r="Q139" s="86"/>
      <c r="R139" s="86"/>
      <c r="S139" s="86"/>
      <c r="T139" s="86"/>
      <c r="U139" s="86"/>
    </row>
    <row r="140" spans="1:21" x14ac:dyDescent="0.15">
      <c r="A140" s="3"/>
      <c r="B140" s="3"/>
      <c r="C140" s="3"/>
      <c r="D140" s="3"/>
      <c r="E140" s="3"/>
      <c r="F140" s="3"/>
      <c r="G140" s="3"/>
      <c r="H140" s="3"/>
      <c r="I140" s="3"/>
      <c r="J140" s="3"/>
      <c r="K140" s="86"/>
      <c r="L140" s="86"/>
      <c r="M140" s="86"/>
      <c r="N140" s="86"/>
      <c r="O140" s="86"/>
      <c r="P140" s="86"/>
      <c r="Q140" s="86"/>
      <c r="R140" s="86"/>
      <c r="S140" s="86"/>
      <c r="T140" s="86"/>
      <c r="U140" s="86"/>
    </row>
    <row r="141" spans="1:21" x14ac:dyDescent="0.15">
      <c r="A141" s="3"/>
      <c r="B141" s="3"/>
      <c r="C141" s="3"/>
      <c r="D141" s="3"/>
      <c r="E141" s="3"/>
      <c r="F141" s="3"/>
      <c r="G141" s="3"/>
      <c r="H141" s="3"/>
      <c r="I141" s="3"/>
      <c r="J141" s="3"/>
      <c r="K141" s="86"/>
      <c r="L141" s="86"/>
      <c r="M141" s="86"/>
      <c r="N141" s="86"/>
      <c r="O141" s="86"/>
      <c r="P141" s="86"/>
      <c r="Q141" s="86"/>
      <c r="R141" s="86"/>
      <c r="S141" s="86"/>
      <c r="T141" s="86"/>
      <c r="U141" s="86"/>
    </row>
    <row r="142" spans="1:21" x14ac:dyDescent="0.15">
      <c r="A142" s="3"/>
      <c r="B142" s="3"/>
      <c r="C142" s="3"/>
      <c r="D142" s="3"/>
      <c r="E142" s="3"/>
      <c r="F142" s="3"/>
      <c r="G142" s="3"/>
      <c r="H142" s="3"/>
      <c r="I142" s="3"/>
      <c r="J142" s="3"/>
      <c r="K142" s="86"/>
      <c r="L142" s="86"/>
      <c r="M142" s="86"/>
      <c r="N142" s="86"/>
      <c r="O142" s="86"/>
      <c r="P142" s="86"/>
      <c r="Q142" s="86"/>
      <c r="R142" s="86"/>
      <c r="S142" s="86"/>
      <c r="T142" s="86"/>
      <c r="U142" s="86"/>
    </row>
    <row r="143" spans="1:21" x14ac:dyDescent="0.15">
      <c r="A143" s="3"/>
      <c r="B143" s="3"/>
      <c r="C143" s="3"/>
      <c r="D143" s="3"/>
      <c r="E143" s="3"/>
      <c r="F143" s="3"/>
      <c r="G143" s="3"/>
      <c r="H143" s="3"/>
      <c r="I143" s="3"/>
      <c r="J143" s="3"/>
      <c r="K143" s="86"/>
      <c r="L143" s="86"/>
      <c r="M143" s="86"/>
      <c r="N143" s="86"/>
      <c r="O143" s="86"/>
      <c r="P143" s="86"/>
      <c r="Q143" s="86"/>
      <c r="R143" s="86"/>
      <c r="S143" s="86"/>
      <c r="T143" s="86"/>
      <c r="U143" s="86"/>
    </row>
    <row r="144" spans="1:21" x14ac:dyDescent="0.15">
      <c r="A144" s="3"/>
      <c r="B144" s="3"/>
      <c r="C144" s="3"/>
      <c r="D144" s="3"/>
      <c r="E144" s="3"/>
      <c r="F144" s="3"/>
      <c r="G144" s="3"/>
      <c r="H144" s="3"/>
      <c r="I144" s="3"/>
      <c r="J144" s="3"/>
      <c r="K144" s="86"/>
      <c r="L144" s="86"/>
      <c r="M144" s="86"/>
      <c r="N144" s="86"/>
      <c r="O144" s="86"/>
      <c r="P144" s="86"/>
      <c r="Q144" s="86"/>
      <c r="R144" s="86"/>
      <c r="S144" s="86"/>
      <c r="T144" s="86"/>
      <c r="U144" s="86"/>
    </row>
    <row r="145" spans="1:21" x14ac:dyDescent="0.15">
      <c r="A145" s="3"/>
      <c r="B145" s="3"/>
      <c r="C145" s="3"/>
      <c r="D145" s="3"/>
      <c r="E145" s="3"/>
      <c r="F145" s="3"/>
      <c r="G145" s="3"/>
      <c r="H145" s="3"/>
      <c r="I145" s="3"/>
      <c r="J145" s="3"/>
      <c r="K145" s="86"/>
      <c r="L145" s="86"/>
      <c r="M145" s="86"/>
      <c r="N145" s="86"/>
      <c r="O145" s="86"/>
      <c r="P145" s="86"/>
      <c r="Q145" s="86"/>
      <c r="R145" s="86"/>
      <c r="S145" s="86"/>
      <c r="T145" s="86"/>
      <c r="U145" s="86"/>
    </row>
    <row r="146" spans="1:21" x14ac:dyDescent="0.15">
      <c r="A146" s="3"/>
      <c r="B146" s="3"/>
      <c r="C146" s="3"/>
      <c r="D146" s="3"/>
      <c r="E146" s="3"/>
      <c r="F146" s="3"/>
      <c r="G146" s="3"/>
      <c r="H146" s="3"/>
      <c r="I146" s="3"/>
      <c r="J146" s="3"/>
      <c r="K146" s="86"/>
      <c r="L146" s="86"/>
      <c r="M146" s="86"/>
      <c r="N146" s="86"/>
      <c r="O146" s="86"/>
      <c r="P146" s="86"/>
      <c r="Q146" s="86"/>
      <c r="R146" s="86"/>
      <c r="S146" s="86"/>
      <c r="T146" s="86"/>
      <c r="U146" s="86"/>
    </row>
  </sheetData>
  <mergeCells count="44">
    <mergeCell ref="M19:M20"/>
    <mergeCell ref="K19:L19"/>
    <mergeCell ref="H9:J17"/>
    <mergeCell ref="P6:Q6"/>
    <mergeCell ref="P7:Q7"/>
    <mergeCell ref="P8:Q8"/>
    <mergeCell ref="P11:T15"/>
    <mergeCell ref="N19:O20"/>
    <mergeCell ref="T19:U19"/>
    <mergeCell ref="S19:S20"/>
    <mergeCell ref="P19:P20"/>
    <mergeCell ref="Q19:R20"/>
    <mergeCell ref="D21:G31"/>
    <mergeCell ref="H4:J7"/>
    <mergeCell ref="N56:O56"/>
    <mergeCell ref="N57:O57"/>
    <mergeCell ref="N32:O32"/>
    <mergeCell ref="N33:O33"/>
    <mergeCell ref="N34:O34"/>
    <mergeCell ref="N50:O50"/>
    <mergeCell ref="N51:O51"/>
    <mergeCell ref="N38:O38"/>
    <mergeCell ref="N39:O39"/>
    <mergeCell ref="N44:O44"/>
    <mergeCell ref="N45:O45"/>
    <mergeCell ref="C4:D4"/>
    <mergeCell ref="E4:F4"/>
    <mergeCell ref="A19:C20"/>
    <mergeCell ref="N21:O22"/>
    <mergeCell ref="N52:O52"/>
    <mergeCell ref="A1:J2"/>
    <mergeCell ref="D56:G61"/>
    <mergeCell ref="D50:G55"/>
    <mergeCell ref="D44:G49"/>
    <mergeCell ref="D38:G43"/>
    <mergeCell ref="H38:I38"/>
    <mergeCell ref="D32:G37"/>
    <mergeCell ref="H33:I33"/>
    <mergeCell ref="H34:I34"/>
    <mergeCell ref="H32:I32"/>
    <mergeCell ref="D19:D20"/>
    <mergeCell ref="H56:I56"/>
    <mergeCell ref="J19:J20"/>
    <mergeCell ref="H19:I20"/>
  </mergeCells>
  <pageMargins left="0.70866141732283472" right="0.70866141732283472" top="0.74803149606299213" bottom="0.74803149606299213" header="0.31496062992125984" footer="0.31496062992125984"/>
  <pageSetup paperSize="9" scale="26" orientation="landscape" r:id="rId1"/>
  <headerFooter>
    <oddHeader>&amp;L&amp;F&amp;R&amp;A</oddHeader>
    <oddFooter>&amp;L&amp;D&amp;RPagina &amp;P van &amp;N</oddFooter>
  </headerFooter>
  <ignoredErrors>
    <ignoredError sqref="D6:D7 E6:E7"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6C30D-057A-44C5-A38F-01AE9F247306}">
  <sheetPr>
    <tabColor theme="6"/>
    <pageSetUpPr fitToPage="1"/>
  </sheetPr>
  <dimension ref="A1:Z88"/>
  <sheetViews>
    <sheetView zoomScaleNormal="100" workbookViewId="0">
      <selection activeCell="D21" sqref="D21"/>
    </sheetView>
  </sheetViews>
  <sheetFormatPr defaultColWidth="11.59765625" defaultRowHeight="10.5" x14ac:dyDescent="0.15"/>
  <cols>
    <col min="1" max="1" width="11.59765625" style="3"/>
    <col min="2" max="2" width="11.8984375" style="3" customWidth="1"/>
    <col min="3" max="10" width="11.59765625" style="3"/>
    <col min="11" max="13" width="11.59765625" style="8"/>
    <col min="14" max="15" width="11.59765625" style="119"/>
    <col min="16" max="21" width="11.59765625" style="8"/>
    <col min="22" max="16384" width="11.59765625" style="3"/>
  </cols>
  <sheetData>
    <row r="1" spans="1:21" s="488" customFormat="1" ht="14.1" customHeight="1" x14ac:dyDescent="0.25">
      <c r="A1" s="605" t="str" cm="1">
        <f t="array" aca="1" ref="A1" ca="1">MID(CELL("bestandsnaam",$A$1),FIND("]",CELL("bestandsnaam",$A$1))+1,31)</f>
        <v>10. Bosstructuurkartering</v>
      </c>
      <c r="B1" s="605"/>
      <c r="C1" s="605"/>
      <c r="D1" s="605"/>
      <c r="E1" s="605"/>
      <c r="F1" s="605"/>
      <c r="G1" s="605"/>
      <c r="H1" s="605"/>
      <c r="I1" s="605"/>
      <c r="J1" s="605"/>
      <c r="K1" s="486"/>
      <c r="L1" s="486"/>
      <c r="M1" s="486"/>
      <c r="N1" s="487"/>
      <c r="O1" s="487"/>
      <c r="P1" s="486"/>
      <c r="Q1" s="486"/>
      <c r="R1" s="486"/>
      <c r="S1" s="486"/>
      <c r="T1" s="486"/>
      <c r="U1" s="486"/>
    </row>
    <row r="2" spans="1:21" s="488" customFormat="1" ht="14.1" customHeight="1" x14ac:dyDescent="0.25">
      <c r="A2" s="605"/>
      <c r="B2" s="605"/>
      <c r="C2" s="605"/>
      <c r="D2" s="605"/>
      <c r="E2" s="605"/>
      <c r="F2" s="605"/>
      <c r="G2" s="605"/>
      <c r="H2" s="605"/>
      <c r="I2" s="605"/>
      <c r="J2" s="605"/>
      <c r="K2" s="486"/>
      <c r="L2" s="486"/>
      <c r="M2" s="486"/>
      <c r="N2" s="487"/>
      <c r="O2" s="487"/>
      <c r="P2" s="486"/>
      <c r="Q2" s="486"/>
      <c r="R2" s="486"/>
      <c r="S2" s="486"/>
      <c r="T2" s="486"/>
      <c r="U2" s="486"/>
    </row>
    <row r="3" spans="1:21" ht="12.95" customHeight="1" x14ac:dyDescent="0.15">
      <c r="A3" s="525" t="s">
        <v>237</v>
      </c>
      <c r="B3" s="61"/>
      <c r="C3" s="61"/>
      <c r="D3" s="60"/>
      <c r="E3" s="60"/>
      <c r="F3" s="60"/>
      <c r="G3" s="60"/>
      <c r="H3" s="61"/>
      <c r="I3" s="61"/>
      <c r="J3" s="61"/>
      <c r="K3" s="62"/>
      <c r="L3" s="62"/>
      <c r="M3" s="62"/>
      <c r="N3" s="116"/>
      <c r="O3" s="116"/>
      <c r="P3" s="62"/>
      <c r="Q3" s="62"/>
      <c r="R3" s="62"/>
      <c r="S3" s="62"/>
      <c r="T3" s="62"/>
      <c r="U3" s="62"/>
    </row>
    <row r="4" spans="1:21" ht="12.95" customHeight="1" x14ac:dyDescent="0.15">
      <c r="A4" s="845" t="s">
        <v>219</v>
      </c>
      <c r="B4" s="846"/>
      <c r="C4" s="907" t="s">
        <v>28</v>
      </c>
      <c r="D4" s="908"/>
      <c r="E4" s="931" t="s">
        <v>363</v>
      </c>
      <c r="F4" s="932"/>
      <c r="G4" s="933"/>
      <c r="H4" s="61"/>
      <c r="I4" s="565" t="s">
        <v>364</v>
      </c>
      <c r="J4" s="569"/>
      <c r="K4" s="569"/>
      <c r="L4" s="569"/>
      <c r="M4" s="552"/>
      <c r="N4" s="566" t="s">
        <v>365</v>
      </c>
      <c r="O4" s="561"/>
      <c r="P4" s="561"/>
      <c r="Q4" s="561"/>
      <c r="R4" s="561"/>
      <c r="S4" s="552"/>
      <c r="T4" s="552"/>
      <c r="U4" s="583"/>
    </row>
    <row r="5" spans="1:21" ht="12.95" customHeight="1" x14ac:dyDescent="0.15">
      <c r="A5" s="576"/>
      <c r="B5" s="577"/>
      <c r="C5" s="582" t="s">
        <v>366</v>
      </c>
      <c r="D5" s="582" t="s">
        <v>367</v>
      </c>
      <c r="E5" s="934"/>
      <c r="F5" s="935"/>
      <c r="G5" s="936"/>
      <c r="H5" s="61"/>
      <c r="I5" s="554"/>
      <c r="J5" s="549"/>
      <c r="K5" s="549"/>
      <c r="L5" s="549"/>
      <c r="M5" s="549"/>
      <c r="N5" s="547"/>
      <c r="O5" s="572"/>
      <c r="P5" s="548" t="s">
        <v>242</v>
      </c>
      <c r="Q5" s="551"/>
      <c r="R5" s="551"/>
      <c r="S5" s="549"/>
      <c r="T5" s="549"/>
      <c r="U5" s="584"/>
    </row>
    <row r="6" spans="1:21" ht="12.95" customHeight="1" x14ac:dyDescent="0.15">
      <c r="A6" s="526" t="s">
        <v>243</v>
      </c>
      <c r="B6" s="81" t="s">
        <v>244</v>
      </c>
      <c r="C6" s="168">
        <f>SUM(T$33,T$51,T$52,T$31)</f>
        <v>2.8672868294893616</v>
      </c>
      <c r="D6" s="168">
        <f>SUM(U$33,U$51,U$52,U$31)</f>
        <v>2.8672868294893616</v>
      </c>
      <c r="E6" s="934"/>
      <c r="F6" s="935"/>
      <c r="G6" s="936"/>
      <c r="H6" s="61"/>
      <c r="I6" s="554"/>
      <c r="J6" s="549"/>
      <c r="K6" s="549"/>
      <c r="L6" s="549"/>
      <c r="M6" s="549"/>
      <c r="N6" s="764" t="s">
        <v>245</v>
      </c>
      <c r="O6" s="765"/>
      <c r="P6" s="581">
        <f>D6/D$9</f>
        <v>0.1116328595121896</v>
      </c>
      <c r="Q6" s="551"/>
      <c r="R6" s="551"/>
      <c r="S6" s="549"/>
      <c r="T6" s="549"/>
      <c r="U6" s="584"/>
    </row>
    <row r="7" spans="1:21" ht="12.95" customHeight="1" x14ac:dyDescent="0.15">
      <c r="A7" s="81" t="s">
        <v>243</v>
      </c>
      <c r="B7" s="81" t="s">
        <v>166</v>
      </c>
      <c r="C7" s="168">
        <f>SUM(T$32,T$34,T$45,T$46)</f>
        <v>9.1322848000000008</v>
      </c>
      <c r="D7" s="168">
        <f>SUM(U$32,U$34,U$45,U$46)</f>
        <v>9.1322848000000008</v>
      </c>
      <c r="E7" s="934"/>
      <c r="F7" s="935"/>
      <c r="G7" s="936"/>
      <c r="H7" s="61"/>
      <c r="I7" s="554"/>
      <c r="J7" s="549"/>
      <c r="K7" s="549"/>
      <c r="L7" s="549"/>
      <c r="M7" s="549"/>
      <c r="N7" s="764" t="s">
        <v>246</v>
      </c>
      <c r="O7" s="765"/>
      <c r="P7" s="581">
        <f>D7/D$9</f>
        <v>0.35554973280620894</v>
      </c>
      <c r="Q7" s="551"/>
      <c r="R7" s="551"/>
      <c r="S7" s="549"/>
      <c r="T7" s="549"/>
      <c r="U7" s="584"/>
    </row>
    <row r="8" spans="1:21" ht="12.95" customHeight="1" x14ac:dyDescent="0.15">
      <c r="A8" s="81" t="s">
        <v>307</v>
      </c>
      <c r="B8" s="81" t="s">
        <v>248</v>
      </c>
      <c r="C8" s="168">
        <f>SUM(T$38,T$39)</f>
        <v>25.689281424271236</v>
      </c>
      <c r="D8" s="168">
        <f>SUM(U$38,U$39)</f>
        <v>13.685400000000001</v>
      </c>
      <c r="E8" s="934"/>
      <c r="F8" s="935"/>
      <c r="G8" s="936"/>
      <c r="H8" s="61"/>
      <c r="I8" s="554"/>
      <c r="J8" s="549"/>
      <c r="K8" s="549"/>
      <c r="L8" s="549"/>
      <c r="M8" s="549"/>
      <c r="N8" s="764" t="s">
        <v>368</v>
      </c>
      <c r="O8" s="765"/>
      <c r="P8" s="581">
        <f>D8/D$9</f>
        <v>0.53281740768160146</v>
      </c>
      <c r="Q8" s="551"/>
      <c r="R8" s="551"/>
      <c r="S8" s="549"/>
      <c r="T8" s="549"/>
      <c r="U8" s="584"/>
    </row>
    <row r="9" spans="1:21" ht="12.95" customHeight="1" x14ac:dyDescent="0.15">
      <c r="A9" s="527" t="s">
        <v>369</v>
      </c>
      <c r="B9" s="278"/>
      <c r="C9" s="174">
        <f>SUM(C6:C8)</f>
        <v>37.688853053760596</v>
      </c>
      <c r="D9" s="174">
        <f>SUM(D6:D8)</f>
        <v>25.684971629489365</v>
      </c>
      <c r="E9" s="934"/>
      <c r="F9" s="935"/>
      <c r="G9" s="936"/>
      <c r="H9" s="61"/>
      <c r="I9" s="554"/>
      <c r="J9" s="549"/>
      <c r="K9" s="549"/>
      <c r="L9" s="549"/>
      <c r="M9" s="549"/>
      <c r="N9" s="549"/>
      <c r="O9" s="550"/>
      <c r="P9" s="550"/>
      <c r="Q9" s="550"/>
      <c r="R9" s="551"/>
      <c r="S9" s="549"/>
      <c r="T9" s="549"/>
      <c r="U9" s="584"/>
    </row>
    <row r="10" spans="1:21" ht="12.95" customHeight="1" x14ac:dyDescent="0.15">
      <c r="A10" s="101" t="s">
        <v>370</v>
      </c>
      <c r="B10" s="101"/>
      <c r="C10" s="245">
        <f>C9*50%+D9*50%</f>
        <v>31.686912341624982</v>
      </c>
      <c r="D10" s="245"/>
      <c r="E10" s="934"/>
      <c r="F10" s="935"/>
      <c r="G10" s="936"/>
      <c r="H10" s="61"/>
      <c r="I10" s="554"/>
      <c r="J10" s="549"/>
      <c r="K10" s="549"/>
      <c r="L10" s="549"/>
      <c r="M10" s="549"/>
      <c r="N10" s="564" t="s">
        <v>253</v>
      </c>
      <c r="O10" s="550"/>
      <c r="P10" s="550"/>
      <c r="Q10" s="550"/>
      <c r="R10" s="551"/>
      <c r="S10" s="549"/>
      <c r="T10" s="549"/>
      <c r="U10" s="584"/>
    </row>
    <row r="11" spans="1:21" ht="12.95" customHeight="1" x14ac:dyDescent="0.15">
      <c r="A11" s="909" t="s">
        <v>257</v>
      </c>
      <c r="B11" s="909"/>
      <c r="C11" s="909"/>
      <c r="D11" s="97"/>
      <c r="E11" s="934"/>
      <c r="F11" s="935"/>
      <c r="G11" s="936"/>
      <c r="H11" s="61"/>
      <c r="I11" s="554"/>
      <c r="J11" s="549"/>
      <c r="K11" s="549"/>
      <c r="L11" s="549"/>
      <c r="M11" s="549"/>
      <c r="N11" s="788" t="s">
        <v>255</v>
      </c>
      <c r="O11" s="788"/>
      <c r="P11" s="788"/>
      <c r="Q11" s="788"/>
      <c r="R11" s="788"/>
      <c r="S11" s="549"/>
      <c r="T11" s="549"/>
      <c r="U11" s="584"/>
    </row>
    <row r="12" spans="1:21" ht="15" customHeight="1" x14ac:dyDescent="0.15">
      <c r="A12" s="910"/>
      <c r="B12" s="910"/>
      <c r="C12" s="910"/>
      <c r="D12" s="97"/>
      <c r="E12" s="937"/>
      <c r="F12" s="938"/>
      <c r="G12" s="939"/>
      <c r="H12" s="61"/>
      <c r="I12" s="554"/>
      <c r="J12" s="549"/>
      <c r="K12" s="549"/>
      <c r="L12" s="549"/>
      <c r="M12" s="549"/>
      <c r="N12" s="788"/>
      <c r="O12" s="788"/>
      <c r="P12" s="788"/>
      <c r="Q12" s="788"/>
      <c r="R12" s="788"/>
      <c r="S12" s="549"/>
      <c r="T12" s="549"/>
      <c r="U12" s="584"/>
    </row>
    <row r="13" spans="1:21" ht="12.95" customHeight="1" x14ac:dyDescent="0.15">
      <c r="D13" s="97"/>
      <c r="E13" s="97"/>
      <c r="F13" s="97"/>
      <c r="G13" s="60"/>
      <c r="H13" s="61"/>
      <c r="I13" s="554"/>
      <c r="J13" s="549"/>
      <c r="K13" s="549"/>
      <c r="L13" s="549"/>
      <c r="M13" s="549"/>
      <c r="N13" s="788"/>
      <c r="O13" s="788"/>
      <c r="P13" s="788"/>
      <c r="Q13" s="788"/>
      <c r="R13" s="788"/>
      <c r="S13" s="549"/>
      <c r="T13" s="549"/>
      <c r="U13" s="584"/>
    </row>
    <row r="14" spans="1:21" ht="12.95" customHeight="1" x14ac:dyDescent="0.15">
      <c r="A14" s="81"/>
      <c r="B14" s="80"/>
      <c r="C14" s="97"/>
      <c r="D14" s="97"/>
      <c r="E14" s="97"/>
      <c r="F14" s="97"/>
      <c r="G14" s="60"/>
      <c r="H14" s="61"/>
      <c r="I14" s="554"/>
      <c r="J14" s="549"/>
      <c r="K14" s="549"/>
      <c r="L14" s="549"/>
      <c r="M14" s="549"/>
      <c r="N14" s="788"/>
      <c r="O14" s="788"/>
      <c r="P14" s="788"/>
      <c r="Q14" s="788"/>
      <c r="R14" s="788"/>
      <c r="S14" s="549"/>
      <c r="T14" s="549"/>
      <c r="U14" s="584"/>
    </row>
    <row r="15" spans="1:21" ht="12.95" customHeight="1" x14ac:dyDescent="0.15">
      <c r="A15" s="81"/>
      <c r="B15" s="80"/>
      <c r="C15" s="97"/>
      <c r="D15" s="97"/>
      <c r="E15" s="97"/>
      <c r="F15" s="97"/>
      <c r="G15" s="60"/>
      <c r="H15" s="61"/>
      <c r="I15" s="554"/>
      <c r="J15" s="549"/>
      <c r="K15" s="549"/>
      <c r="L15" s="549"/>
      <c r="M15" s="549"/>
      <c r="N15" s="788"/>
      <c r="O15" s="788"/>
      <c r="P15" s="788"/>
      <c r="Q15" s="788"/>
      <c r="R15" s="788"/>
      <c r="S15" s="549"/>
      <c r="T15" s="549"/>
      <c r="U15" s="584"/>
    </row>
    <row r="16" spans="1:21" ht="12.95" customHeight="1" x14ac:dyDescent="0.15">
      <c r="A16" s="81"/>
      <c r="B16" s="80"/>
      <c r="C16" s="97"/>
      <c r="D16" s="97"/>
      <c r="E16" s="97"/>
      <c r="F16" s="97"/>
      <c r="G16" s="60"/>
      <c r="H16" s="61"/>
      <c r="I16" s="554"/>
      <c r="J16" s="549"/>
      <c r="K16" s="549"/>
      <c r="L16" s="549"/>
      <c r="M16" s="549"/>
      <c r="N16" s="549"/>
      <c r="O16" s="550"/>
      <c r="P16" s="550"/>
      <c r="Q16" s="550"/>
      <c r="R16" s="551"/>
      <c r="S16" s="549"/>
      <c r="T16" s="549"/>
      <c r="U16" s="584"/>
    </row>
    <row r="17" spans="1:26" ht="12.95" customHeight="1" x14ac:dyDescent="0.15">
      <c r="A17" s="61"/>
      <c r="B17" s="61"/>
      <c r="C17" s="61"/>
      <c r="D17" s="60"/>
      <c r="E17" s="60"/>
      <c r="F17" s="60"/>
      <c r="G17" s="60"/>
      <c r="H17" s="61"/>
      <c r="I17" s="556"/>
      <c r="J17" s="557"/>
      <c r="K17" s="557"/>
      <c r="L17" s="557"/>
      <c r="M17" s="557"/>
      <c r="N17" s="557"/>
      <c r="O17" s="558"/>
      <c r="P17" s="558"/>
      <c r="Q17" s="558"/>
      <c r="R17" s="559"/>
      <c r="S17" s="557"/>
      <c r="T17" s="557"/>
      <c r="U17" s="585"/>
    </row>
    <row r="18" spans="1:26" ht="12.95" customHeight="1" x14ac:dyDescent="0.15">
      <c r="A18" s="143" t="s">
        <v>258</v>
      </c>
      <c r="B18" s="61"/>
      <c r="C18" s="61"/>
      <c r="D18" s="60"/>
      <c r="E18" s="60"/>
      <c r="F18" s="60"/>
      <c r="G18" s="60"/>
      <c r="H18" s="61"/>
      <c r="I18" s="61"/>
      <c r="J18" s="61"/>
      <c r="K18" s="62"/>
      <c r="L18" s="62"/>
      <c r="M18" s="62"/>
      <c r="N18" s="116"/>
      <c r="O18" s="116"/>
      <c r="P18" s="62"/>
      <c r="Q18" s="62"/>
      <c r="R18" s="62"/>
      <c r="S18" s="62"/>
      <c r="T18" s="62"/>
      <c r="U18" s="62"/>
    </row>
    <row r="19" spans="1:26" s="4" customFormat="1" ht="12.95" customHeight="1" x14ac:dyDescent="0.2">
      <c r="A19" s="766" t="s">
        <v>259</v>
      </c>
      <c r="B19" s="767"/>
      <c r="C19" s="768"/>
      <c r="D19" s="823" t="s">
        <v>2</v>
      </c>
      <c r="E19" s="177"/>
      <c r="F19" s="177"/>
      <c r="G19" s="177"/>
      <c r="H19" s="892" t="s">
        <v>260</v>
      </c>
      <c r="I19" s="893"/>
      <c r="J19" s="893" t="s">
        <v>348</v>
      </c>
      <c r="K19" s="746" t="s">
        <v>262</v>
      </c>
      <c r="L19" s="747"/>
      <c r="M19" s="777" t="s">
        <v>263</v>
      </c>
      <c r="N19" s="746" t="s">
        <v>264</v>
      </c>
      <c r="O19" s="747"/>
      <c r="P19" s="777" t="s">
        <v>265</v>
      </c>
      <c r="Q19" s="746" t="s">
        <v>310</v>
      </c>
      <c r="R19" s="747"/>
      <c r="S19" s="777" t="s">
        <v>266</v>
      </c>
      <c r="T19" s="766" t="s">
        <v>267</v>
      </c>
      <c r="U19" s="767"/>
      <c r="V19" s="3"/>
      <c r="W19" s="3"/>
      <c r="X19" s="3"/>
    </row>
    <row r="20" spans="1:26" s="9" customFormat="1" ht="12.95" customHeight="1" x14ac:dyDescent="0.15">
      <c r="A20" s="772"/>
      <c r="B20" s="773"/>
      <c r="C20" s="774"/>
      <c r="D20" s="905"/>
      <c r="E20" s="180"/>
      <c r="F20" s="180"/>
      <c r="G20" s="180"/>
      <c r="H20" s="894"/>
      <c r="I20" s="895"/>
      <c r="J20" s="906"/>
      <c r="K20" s="596" t="s">
        <v>366</v>
      </c>
      <c r="L20" s="596" t="s">
        <v>367</v>
      </c>
      <c r="M20" s="829"/>
      <c r="N20" s="748"/>
      <c r="O20" s="749"/>
      <c r="P20" s="829"/>
      <c r="Q20" s="748"/>
      <c r="R20" s="749"/>
      <c r="S20" s="829"/>
      <c r="T20" s="595" t="s">
        <v>366</v>
      </c>
      <c r="U20" s="597" t="s">
        <v>367</v>
      </c>
      <c r="V20" s="3"/>
      <c r="W20" s="3"/>
      <c r="X20" s="3"/>
    </row>
    <row r="21" spans="1:26" ht="12.95" customHeight="1" x14ac:dyDescent="0.15">
      <c r="A21" s="2"/>
      <c r="D21" s="848" t="s">
        <v>269</v>
      </c>
      <c r="E21" s="848"/>
      <c r="F21" s="848"/>
      <c r="G21" s="848"/>
      <c r="H21" s="28" t="s">
        <v>270</v>
      </c>
      <c r="I21" s="192"/>
      <c r="J21" s="186" t="s">
        <v>357</v>
      </c>
      <c r="K21" s="129"/>
      <c r="L21" s="129"/>
      <c r="M21" s="102" t="s">
        <v>275</v>
      </c>
      <c r="N21" s="737" t="s">
        <v>271</v>
      </c>
      <c r="O21" s="738"/>
      <c r="P21" s="72">
        <v>1</v>
      </c>
      <c r="Q21" s="72"/>
      <c r="R21" s="73" t="str">
        <f>IF(Q21='3. Parameters kostprijsmodel'!$C$9,'3. Parameters kostprijsmodel'!$D$9,IF(Q21='3. Parameters kostprijsmodel'!$C$10,'3. Parameters kostprijsmodel'!$D$10,IF(Q21='3. Parameters kostprijsmodel'!$C$11,'3. Parameters kostprijsmodel'!$D$11,"")))</f>
        <v/>
      </c>
      <c r="S21" s="72"/>
      <c r="T21" s="72"/>
      <c r="U21" s="72"/>
    </row>
    <row r="22" spans="1:26" ht="12.95" customHeight="1" x14ac:dyDescent="0.15">
      <c r="A22" s="2"/>
      <c r="D22" s="851"/>
      <c r="E22" s="851"/>
      <c r="F22" s="851"/>
      <c r="G22" s="851"/>
      <c r="H22" s="30" t="s">
        <v>358</v>
      </c>
      <c r="I22" s="198"/>
      <c r="J22" s="190" t="s">
        <v>357</v>
      </c>
      <c r="K22" s="176"/>
      <c r="L22" s="176"/>
      <c r="M22" s="77" t="s">
        <v>275</v>
      </c>
      <c r="N22" s="739"/>
      <c r="O22" s="740"/>
      <c r="P22" s="76">
        <v>1</v>
      </c>
      <c r="Q22" s="176"/>
      <c r="R22" s="77" t="str">
        <f>IF(Q22='3. Parameters kostprijsmodel'!$C$9,'3. Parameters kostprijsmodel'!$D$9,IF(Q22='3. Parameters kostprijsmodel'!$C$10,'3. Parameters kostprijsmodel'!$D$10,IF(Q22='3. Parameters kostprijsmodel'!$C$11,'3. Parameters kostprijsmodel'!$D$11,"")))</f>
        <v/>
      </c>
      <c r="S22" s="176"/>
      <c r="T22" s="176"/>
      <c r="U22" s="76"/>
    </row>
    <row r="23" spans="1:26" ht="12.95" customHeight="1" x14ac:dyDescent="0.15">
      <c r="A23" s="2"/>
      <c r="D23" s="851"/>
      <c r="E23" s="851"/>
      <c r="F23" s="851"/>
      <c r="G23" s="851"/>
      <c r="H23" s="23"/>
      <c r="I23" s="24"/>
      <c r="J23" s="186"/>
      <c r="K23" s="66"/>
      <c r="L23" s="66"/>
      <c r="M23" s="66"/>
      <c r="N23" s="92"/>
      <c r="O23" s="259"/>
      <c r="P23" s="66"/>
      <c r="Q23" s="66"/>
      <c r="R23" s="66" t="str">
        <f>IF(Q23='3. Parameters kostprijsmodel'!$C$9,'3. Parameters kostprijsmodel'!$D$9,IF(Q23='3. Parameters kostprijsmodel'!$C$10,'3. Parameters kostprijsmodel'!$D$10,IF(Q23='3. Parameters kostprijsmodel'!$C$11,'3. Parameters kostprijsmodel'!$D$11,"")))</f>
        <v/>
      </c>
      <c r="S23" s="66"/>
      <c r="T23" s="66"/>
      <c r="U23" s="72" t="str">
        <f>IF(M23="","",K23*P23*R23+S23)</f>
        <v/>
      </c>
      <c r="Y23" s="126"/>
      <c r="Z23" s="126"/>
    </row>
    <row r="24" spans="1:26" ht="12.95" customHeight="1" x14ac:dyDescent="0.15">
      <c r="A24" s="2"/>
      <c r="D24" s="851"/>
      <c r="E24" s="851"/>
      <c r="F24" s="851"/>
      <c r="G24" s="851"/>
      <c r="H24" s="25"/>
      <c r="I24" s="26"/>
      <c r="J24" s="186"/>
      <c r="K24" s="66"/>
      <c r="L24" s="66"/>
      <c r="M24" s="66"/>
      <c r="N24" s="92"/>
      <c r="O24" s="259"/>
      <c r="P24" s="66"/>
      <c r="Q24" s="66"/>
      <c r="R24" s="66" t="str">
        <f>IF(Q24='3. Parameters kostprijsmodel'!$C$9,'3. Parameters kostprijsmodel'!$D$9,IF(Q24='3. Parameters kostprijsmodel'!$C$10,'3. Parameters kostprijsmodel'!$D$10,IF(Q24='3. Parameters kostprijsmodel'!$C$11,'3. Parameters kostprijsmodel'!$D$11,"")))</f>
        <v/>
      </c>
      <c r="S24" s="66"/>
      <c r="T24" s="66"/>
      <c r="U24" s="72" t="str">
        <f>IF(M24="","",K24*P24*R24+S24)</f>
        <v/>
      </c>
      <c r="Y24" s="126"/>
      <c r="Z24" s="126"/>
    </row>
    <row r="25" spans="1:26" ht="12.95" customHeight="1" x14ac:dyDescent="0.15">
      <c r="A25" s="2"/>
      <c r="D25" s="851"/>
      <c r="E25" s="851"/>
      <c r="F25" s="851"/>
      <c r="G25" s="851"/>
      <c r="H25" s="28"/>
      <c r="I25" s="26"/>
      <c r="J25" s="186"/>
      <c r="K25" s="66"/>
      <c r="L25" s="66"/>
      <c r="M25" s="66"/>
      <c r="N25" s="92"/>
      <c r="O25" s="259"/>
      <c r="P25" s="66"/>
      <c r="Q25" s="66"/>
      <c r="R25" s="66" t="str">
        <f>IF(Q25='3. Parameters kostprijsmodel'!$C$9,'3. Parameters kostprijsmodel'!$D$9,IF(Q25='3. Parameters kostprijsmodel'!$C$10,'3. Parameters kostprijsmodel'!$D$10,IF(Q25='3. Parameters kostprijsmodel'!$C$11,'3. Parameters kostprijsmodel'!$D$11,"")))</f>
        <v/>
      </c>
      <c r="S25" s="66"/>
      <c r="T25" s="66"/>
      <c r="U25" s="72" t="str">
        <f>IF(M25="","",K25*P25*R25+S25)</f>
        <v/>
      </c>
      <c r="Y25" s="126"/>
      <c r="Z25" s="126"/>
    </row>
    <row r="26" spans="1:26" ht="11.1" customHeight="1" x14ac:dyDescent="0.15">
      <c r="A26" s="2"/>
      <c r="D26" s="851"/>
      <c r="E26" s="851"/>
      <c r="F26" s="851"/>
      <c r="G26" s="851"/>
      <c r="H26" s="25"/>
      <c r="I26" s="186"/>
      <c r="J26" s="186"/>
      <c r="K26" s="66"/>
      <c r="L26" s="66"/>
      <c r="M26" s="66"/>
      <c r="N26" s="92"/>
      <c r="O26" s="259"/>
      <c r="P26" s="66"/>
      <c r="Q26" s="66"/>
      <c r="R26" s="66" t="str">
        <f>IF(Q26='3. Parameters kostprijsmodel'!$C$9,'3. Parameters kostprijsmodel'!$D$9,IF(Q26='3. Parameters kostprijsmodel'!$C$10,'3. Parameters kostprijsmodel'!$D$10,IF(Q26='3. Parameters kostprijsmodel'!$C$11,'3. Parameters kostprijsmodel'!$D$11,"")))</f>
        <v/>
      </c>
      <c r="S26" s="66"/>
      <c r="T26" s="66"/>
      <c r="U26" s="72" t="str">
        <f>IF(M26="","",K26*P26*R26+S26)</f>
        <v/>
      </c>
      <c r="Y26" s="126"/>
      <c r="Z26" s="126"/>
    </row>
    <row r="27" spans="1:26" ht="11.1" customHeight="1" x14ac:dyDescent="0.15">
      <c r="A27" s="2"/>
      <c r="D27" s="851"/>
      <c r="E27" s="851"/>
      <c r="F27" s="851"/>
      <c r="G27" s="851"/>
      <c r="H27" s="25"/>
      <c r="I27" s="186"/>
      <c r="J27" s="186"/>
      <c r="K27" s="66"/>
      <c r="L27" s="66"/>
      <c r="M27" s="66"/>
      <c r="N27" s="92"/>
      <c r="O27" s="259"/>
      <c r="P27" s="66"/>
      <c r="Q27" s="66"/>
      <c r="R27" s="66"/>
      <c r="S27" s="66"/>
      <c r="T27" s="66"/>
      <c r="U27" s="72"/>
      <c r="Y27" s="126"/>
      <c r="Z27" s="126"/>
    </row>
    <row r="28" spans="1:26" ht="11.1" customHeight="1" x14ac:dyDescent="0.15">
      <c r="A28" s="2"/>
      <c r="D28" s="851"/>
      <c r="E28" s="851"/>
      <c r="F28" s="851"/>
      <c r="G28" s="851"/>
      <c r="H28" s="25"/>
      <c r="I28" s="186"/>
      <c r="J28" s="186"/>
      <c r="K28" s="66"/>
      <c r="L28" s="66"/>
      <c r="M28" s="66"/>
      <c r="N28" s="92"/>
      <c r="O28" s="259"/>
      <c r="P28" s="66"/>
      <c r="Q28" s="66"/>
      <c r="R28" s="66"/>
      <c r="S28" s="66"/>
      <c r="T28" s="66"/>
      <c r="U28" s="72"/>
      <c r="Y28" s="126"/>
      <c r="Z28" s="126"/>
    </row>
    <row r="29" spans="1:26" ht="11.1" customHeight="1" x14ac:dyDescent="0.15">
      <c r="A29" s="2"/>
      <c r="D29" s="851"/>
      <c r="E29" s="851"/>
      <c r="F29" s="851"/>
      <c r="G29" s="851"/>
      <c r="H29" s="25"/>
      <c r="I29" s="186"/>
      <c r="J29" s="186"/>
      <c r="K29" s="66"/>
      <c r="L29" s="66"/>
      <c r="M29" s="66"/>
      <c r="N29" s="92"/>
      <c r="O29" s="259"/>
      <c r="P29" s="66"/>
      <c r="Q29" s="66"/>
      <c r="R29" s="66"/>
      <c r="S29" s="66"/>
      <c r="T29" s="66"/>
      <c r="U29" s="72"/>
      <c r="Y29" s="126"/>
      <c r="Z29" s="126"/>
    </row>
    <row r="30" spans="1:26" ht="11.1" customHeight="1" x14ac:dyDescent="0.15">
      <c r="A30" s="2"/>
      <c r="D30" s="854"/>
      <c r="E30" s="854"/>
      <c r="F30" s="854"/>
      <c r="G30" s="854"/>
      <c r="H30" s="25"/>
      <c r="I30" s="186"/>
      <c r="J30" s="186"/>
      <c r="K30" s="48"/>
      <c r="L30" s="48"/>
      <c r="M30" s="66"/>
      <c r="N30" s="181"/>
      <c r="O30" s="253"/>
      <c r="P30" s="66"/>
      <c r="Q30" s="66"/>
      <c r="R30" s="66"/>
      <c r="S30" s="66"/>
      <c r="T30" s="66"/>
      <c r="U30" s="72"/>
      <c r="Y30" s="126"/>
      <c r="Z30" s="126"/>
    </row>
    <row r="31" spans="1:26" ht="12.95" customHeight="1" x14ac:dyDescent="0.15">
      <c r="A31" s="188"/>
      <c r="B31" s="19"/>
      <c r="C31" s="19"/>
      <c r="D31" s="916" t="s">
        <v>371</v>
      </c>
      <c r="E31" s="917"/>
      <c r="F31" s="917"/>
      <c r="G31" s="918"/>
      <c r="H31" s="34" t="s">
        <v>274</v>
      </c>
      <c r="I31" s="35"/>
      <c r="J31" s="194" t="s">
        <v>357</v>
      </c>
      <c r="K31" s="911">
        <f>3.465/'3. Parameters kostprijsmodel'!C29</f>
        <v>1.3859999999999999E-2</v>
      </c>
      <c r="L31" s="912"/>
      <c r="M31" s="67" t="s">
        <v>275</v>
      </c>
      <c r="N31" s="731" t="s">
        <v>276</v>
      </c>
      <c r="O31" s="732"/>
      <c r="P31" s="65">
        <v>1</v>
      </c>
      <c r="Q31" s="104" t="s">
        <v>172</v>
      </c>
      <c r="R31" s="170">
        <f>IF(Q31='3. Parameters kostprijsmodel'!$C$9,'3. Parameters kostprijsmodel'!$D$9,IF(Q31='3. Parameters kostprijsmodel'!$C$10,'3. Parameters kostprijsmodel'!$D$10,IF(Q31='3. Parameters kostprijsmodel'!$C$11,'3. Parameters kostprijsmodel'!$D$11,"")))</f>
        <v>66.255819148936169</v>
      </c>
      <c r="S31" s="157">
        <v>0</v>
      </c>
      <c r="T31" s="148">
        <f>IF($M31="","",$K31*$P31*$R31+$S31)</f>
        <v>0.91830565340425518</v>
      </c>
      <c r="U31" s="148">
        <f>IF($M31="","",$K31*$P31*$R31+$S31)</f>
        <v>0.91830565340425518</v>
      </c>
      <c r="Y31" s="126"/>
      <c r="Z31" s="126"/>
    </row>
    <row r="32" spans="1:26" ht="12.95" customHeight="1" x14ac:dyDescent="0.15">
      <c r="A32" s="2"/>
      <c r="D32" s="919"/>
      <c r="E32" s="920"/>
      <c r="F32" s="920"/>
      <c r="G32" s="921"/>
      <c r="H32" s="735" t="s">
        <v>277</v>
      </c>
      <c r="I32" s="736"/>
      <c r="J32" s="191" t="s">
        <v>166</v>
      </c>
      <c r="K32" s="911">
        <f>1.538/'3. Parameters kostprijsmodel'!C29</f>
        <v>6.1520000000000004E-3</v>
      </c>
      <c r="L32" s="912"/>
      <c r="M32" s="67" t="s">
        <v>275</v>
      </c>
      <c r="N32" s="731" t="s">
        <v>276</v>
      </c>
      <c r="O32" s="732"/>
      <c r="P32" s="65">
        <v>1</v>
      </c>
      <c r="Q32" s="104" t="s">
        <v>167</v>
      </c>
      <c r="R32" s="170">
        <f>IF(Q32='3. Parameters kostprijsmodel'!$C$9,'3. Parameters kostprijsmodel'!$D$9,IF(Q32='3. Parameters kostprijsmodel'!$C$10,'3. Parameters kostprijsmodel'!$D$10,IF(Q32='3. Parameters kostprijsmodel'!$C$11,'3. Parameters kostprijsmodel'!$D$11,"")))</f>
        <v>91.68</v>
      </c>
      <c r="S32" s="157">
        <v>0</v>
      </c>
      <c r="T32" s="148">
        <f t="shared" ref="T32:T34" si="0">IF($M32="","",$K32*$P32*$R32+$S32)</f>
        <v>0.56401536000000008</v>
      </c>
      <c r="U32" s="148">
        <f t="shared" ref="T32:U36" si="1">IF(M32="","",K32*P32*R32+S32)</f>
        <v>0.56401536000000008</v>
      </c>
      <c r="Y32" s="126"/>
      <c r="Z32" s="126"/>
    </row>
    <row r="33" spans="1:26" ht="12.95" customHeight="1" x14ac:dyDescent="0.15">
      <c r="A33" s="2"/>
      <c r="D33" s="919"/>
      <c r="E33" s="920"/>
      <c r="F33" s="920"/>
      <c r="G33" s="921"/>
      <c r="H33" s="733" t="s">
        <v>277</v>
      </c>
      <c r="I33" s="734"/>
      <c r="J33" s="95" t="s">
        <v>171</v>
      </c>
      <c r="K33" s="915">
        <f>1.538/'3. Parameters kostprijsmodel'!C29</f>
        <v>6.1520000000000004E-3</v>
      </c>
      <c r="L33" s="912"/>
      <c r="M33" s="67" t="s">
        <v>275</v>
      </c>
      <c r="N33" s="731" t="s">
        <v>276</v>
      </c>
      <c r="O33" s="732"/>
      <c r="P33" s="65">
        <v>1</v>
      </c>
      <c r="Q33" s="104" t="s">
        <v>172</v>
      </c>
      <c r="R33" s="170">
        <f>IF(Q33='3. Parameters kostprijsmodel'!$C$9,'3. Parameters kostprijsmodel'!$D$9,IF(Q33='3. Parameters kostprijsmodel'!$C$10,'3. Parameters kostprijsmodel'!$D$10,IF(Q33='3. Parameters kostprijsmodel'!$C$11,'3. Parameters kostprijsmodel'!$D$11,"")))</f>
        <v>66.255819148936169</v>
      </c>
      <c r="S33" s="157">
        <v>0</v>
      </c>
      <c r="T33" s="148">
        <f t="shared" si="0"/>
        <v>0.40760579940425534</v>
      </c>
      <c r="U33" s="148">
        <f t="shared" si="1"/>
        <v>0.40760579940425534</v>
      </c>
      <c r="Y33" s="126"/>
      <c r="Z33" s="126"/>
    </row>
    <row r="34" spans="1:26" ht="12.95" customHeight="1" x14ac:dyDescent="0.15">
      <c r="A34" s="2"/>
      <c r="D34" s="919"/>
      <c r="E34" s="920"/>
      <c r="F34" s="920"/>
      <c r="G34" s="921"/>
      <c r="H34" s="733" t="s">
        <v>278</v>
      </c>
      <c r="I34" s="734"/>
      <c r="J34" s="179" t="s">
        <v>166</v>
      </c>
      <c r="K34" s="913">
        <f>4.144/'3. Parameters kostprijsmodel'!C29</f>
        <v>1.6576E-2</v>
      </c>
      <c r="L34" s="914"/>
      <c r="M34" s="67" t="s">
        <v>275</v>
      </c>
      <c r="N34" s="731" t="s">
        <v>276</v>
      </c>
      <c r="O34" s="732"/>
      <c r="P34" s="65">
        <v>1</v>
      </c>
      <c r="Q34" s="104" t="s">
        <v>169</v>
      </c>
      <c r="R34" s="170">
        <f>IF(Q34='3. Parameters kostprijsmodel'!$C$9,'3. Parameters kostprijsmodel'!$D$9,IF(Q34='3. Parameters kostprijsmodel'!$C$10,'3. Parameters kostprijsmodel'!$D$10,IF(Q34='3. Parameters kostprijsmodel'!$C$11,'3. Parameters kostprijsmodel'!$D$11,"")))</f>
        <v>76.03</v>
      </c>
      <c r="S34" s="157">
        <v>0</v>
      </c>
      <c r="T34" s="148">
        <f t="shared" si="0"/>
        <v>1.2602732800000001</v>
      </c>
      <c r="U34" s="148">
        <f t="shared" si="1"/>
        <v>1.2602732800000001</v>
      </c>
      <c r="Y34" s="126"/>
      <c r="Z34" s="126"/>
    </row>
    <row r="35" spans="1:26" ht="12.95" customHeight="1" x14ac:dyDescent="0.15">
      <c r="A35" s="2"/>
      <c r="D35" s="919"/>
      <c r="E35" s="920"/>
      <c r="F35" s="920"/>
      <c r="G35" s="921"/>
      <c r="H35" s="28"/>
      <c r="I35" s="26"/>
      <c r="J35" s="186"/>
      <c r="K35" s="72"/>
      <c r="L35" s="72"/>
      <c r="M35" s="72"/>
      <c r="N35" s="92"/>
      <c r="O35" s="259"/>
      <c r="P35" s="66"/>
      <c r="Q35" s="93"/>
      <c r="R35" s="494" t="str">
        <f>IF(Q35='3. Parameters kostprijsmodel'!$C$9,'3. Parameters kostprijsmodel'!$D$9,IF(Q35='3. Parameters kostprijsmodel'!$C$10,'3. Parameters kostprijsmodel'!$D$10,IF(Q35='3. Parameters kostprijsmodel'!$C$11,'3. Parameters kostprijsmodel'!$D$11,"")))</f>
        <v/>
      </c>
      <c r="S35" s="146"/>
      <c r="T35" s="153" t="str">
        <f t="shared" si="1"/>
        <v/>
      </c>
      <c r="U35" s="153" t="str">
        <f t="shared" si="1"/>
        <v/>
      </c>
      <c r="Y35" s="126"/>
      <c r="Z35" s="126"/>
    </row>
    <row r="36" spans="1:26" ht="12.95" customHeight="1" x14ac:dyDescent="0.15">
      <c r="A36" s="2"/>
      <c r="D36" s="919"/>
      <c r="E36" s="920"/>
      <c r="F36" s="920"/>
      <c r="G36" s="921"/>
      <c r="H36" s="28"/>
      <c r="I36" s="26"/>
      <c r="J36" s="186"/>
      <c r="K36" s="66"/>
      <c r="L36" s="66"/>
      <c r="M36" s="66"/>
      <c r="N36" s="92"/>
      <c r="O36" s="259"/>
      <c r="P36" s="66"/>
      <c r="Q36" s="92"/>
      <c r="R36" s="495" t="str">
        <f>IF(Q36='3. Parameters kostprijsmodel'!$C$9,'3. Parameters kostprijsmodel'!$D$9,IF(Q36='3. Parameters kostprijsmodel'!$C$10,'3. Parameters kostprijsmodel'!$D$10,IF(Q36='3. Parameters kostprijsmodel'!$C$11,'3. Parameters kostprijsmodel'!$D$11,"")))</f>
        <v/>
      </c>
      <c r="S36" s="146"/>
      <c r="T36" s="153" t="str">
        <f t="shared" si="1"/>
        <v/>
      </c>
      <c r="U36" s="153" t="str">
        <f t="shared" si="1"/>
        <v/>
      </c>
      <c r="W36" s="126"/>
      <c r="X36" s="126"/>
      <c r="Y36" s="126"/>
      <c r="Z36" s="126"/>
    </row>
    <row r="37" spans="1:26" ht="12.95" customHeight="1" x14ac:dyDescent="0.15">
      <c r="A37" s="187"/>
      <c r="B37" s="20"/>
      <c r="C37" s="7"/>
      <c r="D37" s="922"/>
      <c r="E37" s="923"/>
      <c r="F37" s="923"/>
      <c r="G37" s="924"/>
      <c r="H37" s="28"/>
      <c r="I37" s="26"/>
      <c r="J37" s="186"/>
      <c r="K37" s="66"/>
      <c r="L37" s="66"/>
      <c r="M37" s="66"/>
      <c r="N37" s="181"/>
      <c r="O37" s="259"/>
      <c r="P37" s="66"/>
      <c r="Q37" s="92"/>
      <c r="R37" s="495" t="str">
        <f>IF(Q37='3. Parameters kostprijsmodel'!$C$9,'3. Parameters kostprijsmodel'!$D$9,IF(Q37='3. Parameters kostprijsmodel'!$C$10,'3. Parameters kostprijsmodel'!$D$10,IF(Q37='3. Parameters kostprijsmodel'!$C$11,'3. Parameters kostprijsmodel'!$D$11,"")))</f>
        <v/>
      </c>
      <c r="S37" s="146"/>
      <c r="T37" s="153"/>
      <c r="U37" s="153"/>
      <c r="W37" s="109"/>
      <c r="X37" s="109"/>
      <c r="Y37" s="109"/>
      <c r="Z37" s="109"/>
    </row>
    <row r="38" spans="1:26" ht="12.95" customHeight="1" x14ac:dyDescent="0.15">
      <c r="A38" s="188"/>
      <c r="B38" s="19"/>
      <c r="C38" s="19"/>
      <c r="D38" s="847" t="s">
        <v>372</v>
      </c>
      <c r="E38" s="848"/>
      <c r="F38" s="848"/>
      <c r="G38" s="849"/>
      <c r="H38" s="928" t="s">
        <v>314</v>
      </c>
      <c r="I38" s="929"/>
      <c r="J38" s="191" t="s">
        <v>166</v>
      </c>
      <c r="K38" s="258">
        <v>0.31158014364592646</v>
      </c>
      <c r="L38" s="258">
        <v>0.17</v>
      </c>
      <c r="M38" s="67" t="s">
        <v>275</v>
      </c>
      <c r="N38" s="727" t="s">
        <v>282</v>
      </c>
      <c r="O38" s="728"/>
      <c r="P38" s="65">
        <v>1</v>
      </c>
      <c r="Q38" s="502" t="s">
        <v>169</v>
      </c>
      <c r="R38" s="496">
        <f>IF(Q38='3. Parameters kostprijsmodel'!$C$9,'3. Parameters kostprijsmodel'!$D$9,IF(Q38='3. Parameters kostprijsmodel'!$C$10,'3. Parameters kostprijsmodel'!$D$10,IF(Q38='3. Parameters kostprijsmodel'!$C$11,'3. Parameters kostprijsmodel'!$D$11,"")))</f>
        <v>76.03</v>
      </c>
      <c r="S38" s="157">
        <v>0</v>
      </c>
      <c r="T38" s="148">
        <f>IF($M38="","",$K38*$P38*$R38+$S38)</f>
        <v>23.689438321399788</v>
      </c>
      <c r="U38" s="148">
        <f>IF(M38="","",L38*P38*R38+S38)</f>
        <v>12.9251</v>
      </c>
    </row>
    <row r="39" spans="1:26" ht="12.95" customHeight="1" x14ac:dyDescent="0.15">
      <c r="A39" s="2"/>
      <c r="D39" s="850"/>
      <c r="E39" s="851"/>
      <c r="F39" s="851"/>
      <c r="G39" s="852"/>
      <c r="H39" s="196" t="s">
        <v>315</v>
      </c>
      <c r="I39" s="199"/>
      <c r="J39" s="199" t="s">
        <v>166</v>
      </c>
      <c r="K39" s="258">
        <v>2.6303342139569225E-2</v>
      </c>
      <c r="L39" s="258">
        <v>0.01</v>
      </c>
      <c r="M39" s="103" t="s">
        <v>275</v>
      </c>
      <c r="N39" s="727" t="s">
        <v>282</v>
      </c>
      <c r="O39" s="728"/>
      <c r="P39" s="68">
        <v>1</v>
      </c>
      <c r="Q39" s="503" t="s">
        <v>169</v>
      </c>
      <c r="R39" s="497">
        <f>IF(Q39='3. Parameters kostprijsmodel'!$C$9,'3. Parameters kostprijsmodel'!$D$9,IF(Q39='3. Parameters kostprijsmodel'!$C$10,'3. Parameters kostprijsmodel'!$D$10,IF(Q39='3. Parameters kostprijsmodel'!$C$11,'3. Parameters kostprijsmodel'!$D$11,"")))</f>
        <v>76.03</v>
      </c>
      <c r="S39" s="158">
        <v>0</v>
      </c>
      <c r="T39" s="148">
        <f t="shared" ref="T39" si="2">IF($M39="","",$K39*$P39*$R39+$S39)</f>
        <v>1.9998431028714483</v>
      </c>
      <c r="U39" s="149">
        <f>IF(M39="","",L39*P39*R39+S39)</f>
        <v>0.76029999999999998</v>
      </c>
      <c r="W39" s="101"/>
    </row>
    <row r="40" spans="1:26" ht="12.95" customHeight="1" x14ac:dyDescent="0.15">
      <c r="A40" s="2"/>
      <c r="D40" s="850"/>
      <c r="E40" s="851"/>
      <c r="F40" s="851"/>
      <c r="G40" s="852"/>
      <c r="H40" s="25"/>
      <c r="I40" s="186"/>
      <c r="J40" s="186"/>
      <c r="K40" s="66"/>
      <c r="L40" s="66"/>
      <c r="M40" s="66"/>
      <c r="N40" s="92"/>
      <c r="O40" s="259"/>
      <c r="P40" s="66"/>
      <c r="Q40" s="92"/>
      <c r="R40" s="495" t="str">
        <f>IF(Q40='3. Parameters kostprijsmodel'!$C$9,'3. Parameters kostprijsmodel'!$D$9,IF(Q40='3. Parameters kostprijsmodel'!$C$10,'3. Parameters kostprijsmodel'!$D$10,IF(Q40='3. Parameters kostprijsmodel'!$C$11,'3. Parameters kostprijsmodel'!$D$11,"")))</f>
        <v/>
      </c>
      <c r="S40" s="146"/>
      <c r="T40" s="153" t="str">
        <f t="shared" ref="T40:U43" si="3">IF(L40="","",J40*O40*Q40+R40)</f>
        <v/>
      </c>
      <c r="U40" s="153" t="str">
        <f t="shared" si="3"/>
        <v/>
      </c>
    </row>
    <row r="41" spans="1:26" ht="12.95" customHeight="1" x14ac:dyDescent="0.15">
      <c r="A41" s="2"/>
      <c r="D41" s="850"/>
      <c r="E41" s="851"/>
      <c r="F41" s="851"/>
      <c r="G41" s="852"/>
      <c r="H41" s="25"/>
      <c r="I41" s="186"/>
      <c r="J41" s="186"/>
      <c r="K41" s="72"/>
      <c r="L41" s="72"/>
      <c r="M41" s="72"/>
      <c r="N41" s="92"/>
      <c r="O41" s="259"/>
      <c r="P41" s="66"/>
      <c r="Q41" s="93"/>
      <c r="R41" s="494" t="str">
        <f>IF(Q41='3. Parameters kostprijsmodel'!$C$9,'3. Parameters kostprijsmodel'!$D$9,IF(Q41='3. Parameters kostprijsmodel'!$C$10,'3. Parameters kostprijsmodel'!$D$10,IF(Q41='3. Parameters kostprijsmodel'!$C$11,'3. Parameters kostprijsmodel'!$D$11,"")))</f>
        <v/>
      </c>
      <c r="S41" s="146"/>
      <c r="T41" s="153" t="str">
        <f t="shared" si="3"/>
        <v/>
      </c>
      <c r="U41" s="153" t="str">
        <f t="shared" si="3"/>
        <v/>
      </c>
      <c r="W41" s="851"/>
      <c r="X41" s="851"/>
      <c r="Y41" s="851"/>
      <c r="Z41" s="851"/>
    </row>
    <row r="42" spans="1:26" ht="12.95" customHeight="1" x14ac:dyDescent="0.15">
      <c r="A42" s="2"/>
      <c r="D42" s="850"/>
      <c r="E42" s="851"/>
      <c r="F42" s="851"/>
      <c r="G42" s="852"/>
      <c r="H42" s="25"/>
      <c r="I42" s="186"/>
      <c r="J42" s="186"/>
      <c r="K42" s="66"/>
      <c r="L42" s="66"/>
      <c r="M42" s="66"/>
      <c r="N42" s="92"/>
      <c r="O42" s="259"/>
      <c r="P42" s="66"/>
      <c r="Q42" s="92"/>
      <c r="R42" s="495" t="str">
        <f>IF(Q42='3. Parameters kostprijsmodel'!$C$9,'3. Parameters kostprijsmodel'!$D$9,IF(Q42='3. Parameters kostprijsmodel'!$C$10,'3. Parameters kostprijsmodel'!$D$10,IF(Q42='3. Parameters kostprijsmodel'!$C$11,'3. Parameters kostprijsmodel'!$D$11,"")))</f>
        <v/>
      </c>
      <c r="S42" s="146"/>
      <c r="T42" s="153" t="str">
        <f t="shared" si="3"/>
        <v/>
      </c>
      <c r="U42" s="153" t="str">
        <f t="shared" si="3"/>
        <v/>
      </c>
      <c r="W42" s="851"/>
      <c r="X42" s="851"/>
      <c r="Y42" s="851"/>
      <c r="Z42" s="851"/>
    </row>
    <row r="43" spans="1:26" ht="12.95" customHeight="1" x14ac:dyDescent="0.15">
      <c r="A43" s="2"/>
      <c r="D43" s="850"/>
      <c r="E43" s="851"/>
      <c r="F43" s="851"/>
      <c r="G43" s="852"/>
      <c r="H43" s="25"/>
      <c r="I43" s="186"/>
      <c r="J43" s="186"/>
      <c r="K43" s="66"/>
      <c r="L43" s="66"/>
      <c r="M43" s="66"/>
      <c r="N43" s="92"/>
      <c r="O43" s="259"/>
      <c r="P43" s="66"/>
      <c r="Q43" s="92"/>
      <c r="R43" s="495" t="str">
        <f>IF(Q43='3. Parameters kostprijsmodel'!$C$9,'3. Parameters kostprijsmodel'!$D$9,IF(Q43='3. Parameters kostprijsmodel'!$C$10,'3. Parameters kostprijsmodel'!$D$10,IF(Q43='3. Parameters kostprijsmodel'!$C$11,'3. Parameters kostprijsmodel'!$D$11,"")))</f>
        <v/>
      </c>
      <c r="S43" s="146"/>
      <c r="T43" s="153" t="str">
        <f t="shared" si="3"/>
        <v/>
      </c>
      <c r="U43" s="153" t="str">
        <f t="shared" si="3"/>
        <v/>
      </c>
      <c r="W43" s="851"/>
      <c r="X43" s="851"/>
      <c r="Y43" s="851"/>
      <c r="Z43" s="851"/>
    </row>
    <row r="44" spans="1:26" ht="12.95" customHeight="1" x14ac:dyDescent="0.15">
      <c r="A44" s="2"/>
      <c r="D44" s="853"/>
      <c r="E44" s="854"/>
      <c r="F44" s="854"/>
      <c r="G44" s="855"/>
      <c r="H44" s="195"/>
      <c r="I44" s="190"/>
      <c r="J44" s="190"/>
      <c r="K44" s="176"/>
      <c r="L44" s="176"/>
      <c r="M44" s="176"/>
      <c r="N44" s="181"/>
      <c r="O44" s="253"/>
      <c r="P44" s="176"/>
      <c r="Q44" s="181"/>
      <c r="R44" s="498"/>
      <c r="S44" s="151"/>
      <c r="T44" s="145"/>
      <c r="U44" s="145"/>
      <c r="W44" s="851"/>
      <c r="X44" s="851"/>
      <c r="Y44" s="851"/>
      <c r="Z44" s="851"/>
    </row>
    <row r="45" spans="1:26" ht="12.95" customHeight="1" x14ac:dyDescent="0.15">
      <c r="A45" s="188"/>
      <c r="B45" s="19"/>
      <c r="C45" s="5"/>
      <c r="D45" s="847" t="s">
        <v>373</v>
      </c>
      <c r="E45" s="848"/>
      <c r="F45" s="848"/>
      <c r="G45" s="849"/>
      <c r="H45" s="1" t="s">
        <v>374</v>
      </c>
      <c r="I45" s="191"/>
      <c r="J45" s="191" t="s">
        <v>166</v>
      </c>
      <c r="K45" s="911">
        <f>9.456/'3. Parameters kostprijsmodel'!C29</f>
        <v>3.7823999999999997E-2</v>
      </c>
      <c r="L45" s="912"/>
      <c r="M45" s="104" t="s">
        <v>275</v>
      </c>
      <c r="N45" s="731" t="s">
        <v>276</v>
      </c>
      <c r="O45" s="732"/>
      <c r="P45" s="65">
        <v>1</v>
      </c>
      <c r="Q45" s="502" t="s">
        <v>167</v>
      </c>
      <c r="R45" s="496">
        <f>IF(Q45='3. Parameters kostprijsmodel'!$C$9,'3. Parameters kostprijsmodel'!$D$9,IF(Q45='3. Parameters kostprijsmodel'!$C$10,'3. Parameters kostprijsmodel'!$D$10,IF(Q45='3. Parameters kostprijsmodel'!$C$11,'3. Parameters kostprijsmodel'!$D$11,"")))</f>
        <v>91.68</v>
      </c>
      <c r="S45" s="157">
        <v>0</v>
      </c>
      <c r="T45" s="148">
        <f t="shared" ref="T45:T46" si="4">IF($M45="","",$K45*$P45*$R45+$S45)</f>
        <v>3.4677043199999997</v>
      </c>
      <c r="U45" s="148">
        <f>IF(M45="","",K45*P45*R45+S45)</f>
        <v>3.4677043199999997</v>
      </c>
      <c r="W45" s="851"/>
      <c r="X45" s="851"/>
      <c r="Y45" s="851"/>
      <c r="Z45" s="851"/>
    </row>
    <row r="46" spans="1:26" ht="12.95" customHeight="1" x14ac:dyDescent="0.15">
      <c r="A46" s="2"/>
      <c r="C46" s="6"/>
      <c r="D46" s="850"/>
      <c r="E46" s="851"/>
      <c r="F46" s="851"/>
      <c r="G46" s="852"/>
      <c r="H46" s="926" t="s">
        <v>375</v>
      </c>
      <c r="I46" s="927"/>
      <c r="J46" s="191" t="s">
        <v>166</v>
      </c>
      <c r="K46" s="930">
        <f>10.472/'3. Parameters kostprijsmodel'!C29</f>
        <v>4.1887999999999995E-2</v>
      </c>
      <c r="L46" s="914"/>
      <c r="M46" s="67" t="s">
        <v>275</v>
      </c>
      <c r="N46" s="731" t="s">
        <v>276</v>
      </c>
      <c r="O46" s="732"/>
      <c r="P46" s="65">
        <v>1</v>
      </c>
      <c r="Q46" s="104" t="s">
        <v>167</v>
      </c>
      <c r="R46" s="170">
        <f>IF(Q46='3. Parameters kostprijsmodel'!$C$9,'3. Parameters kostprijsmodel'!$D$9,IF(Q46='3. Parameters kostprijsmodel'!$C$10,'3. Parameters kostprijsmodel'!$D$10,IF(Q46='3. Parameters kostprijsmodel'!$C$11,'3. Parameters kostprijsmodel'!$D$11,"")))</f>
        <v>91.68</v>
      </c>
      <c r="S46" s="157">
        <v>0</v>
      </c>
      <c r="T46" s="148">
        <f t="shared" si="4"/>
        <v>3.8402918399999999</v>
      </c>
      <c r="U46" s="148">
        <f>IF(M46="","",K46*P46*R46+S46)</f>
        <v>3.8402918399999999</v>
      </c>
      <c r="W46" s="851"/>
      <c r="X46" s="851"/>
      <c r="Y46" s="851"/>
      <c r="Z46" s="851"/>
    </row>
    <row r="47" spans="1:26" ht="12.95" customHeight="1" x14ac:dyDescent="0.15">
      <c r="A47" s="2"/>
      <c r="C47" s="6"/>
      <c r="D47" s="850"/>
      <c r="E47" s="851"/>
      <c r="F47" s="851"/>
      <c r="G47" s="852"/>
      <c r="H47" s="25"/>
      <c r="I47" s="193"/>
      <c r="J47" s="186"/>
      <c r="K47" s="66"/>
      <c r="L47" s="66"/>
      <c r="M47" s="102"/>
      <c r="N47" s="598"/>
      <c r="O47" s="599"/>
      <c r="P47" s="66"/>
      <c r="Q47" s="73"/>
      <c r="R47" s="175" t="str">
        <f>IF(Q47='3. Parameters kostprijsmodel'!$C$9,'3. Parameters kostprijsmodel'!$D$9,IF(Q47='3. Parameters kostprijsmodel'!$C$10,'3. Parameters kostprijsmodel'!$D$10,IF(Q47='3. Parameters kostprijsmodel'!$C$11,'3. Parameters kostprijsmodel'!$D$11,"")))</f>
        <v/>
      </c>
      <c r="S47" s="146"/>
      <c r="T47" s="153"/>
      <c r="U47" s="153"/>
      <c r="W47" s="851"/>
      <c r="X47" s="851"/>
      <c r="Y47" s="851"/>
      <c r="Z47" s="851"/>
    </row>
    <row r="48" spans="1:26" ht="12.95" customHeight="1" x14ac:dyDescent="0.15">
      <c r="A48" s="2"/>
      <c r="C48" s="6"/>
      <c r="D48" s="850"/>
      <c r="E48" s="851"/>
      <c r="F48" s="851"/>
      <c r="G48" s="852"/>
      <c r="H48" s="25"/>
      <c r="I48" s="193"/>
      <c r="J48" s="186"/>
      <c r="K48" s="66"/>
      <c r="L48" s="66"/>
      <c r="M48" s="66"/>
      <c r="N48" s="598"/>
      <c r="O48" s="599"/>
      <c r="P48" s="66"/>
      <c r="Q48" s="92"/>
      <c r="R48" s="495" t="str">
        <f>IF(Q48='3. Parameters kostprijsmodel'!$C$9,'3. Parameters kostprijsmodel'!$D$9,IF(Q48='3. Parameters kostprijsmodel'!$C$10,'3. Parameters kostprijsmodel'!$D$10,IF(Q48='3. Parameters kostprijsmodel'!$C$11,'3. Parameters kostprijsmodel'!$D$11,"")))</f>
        <v/>
      </c>
      <c r="S48" s="146"/>
      <c r="T48" s="153" t="str">
        <f t="shared" ref="T48:U56" si="5">IF(L48="","",J48*O48*Q48+R48)</f>
        <v/>
      </c>
      <c r="U48" s="153" t="str">
        <f t="shared" si="5"/>
        <v/>
      </c>
      <c r="W48" s="851"/>
      <c r="X48" s="851"/>
      <c r="Y48" s="851"/>
      <c r="Z48" s="851"/>
    </row>
    <row r="49" spans="1:26" ht="12.95" customHeight="1" x14ac:dyDescent="0.15">
      <c r="A49" s="2"/>
      <c r="C49" s="6"/>
      <c r="D49" s="850"/>
      <c r="E49" s="851"/>
      <c r="F49" s="851"/>
      <c r="G49" s="852"/>
      <c r="H49" s="58"/>
      <c r="I49" s="193"/>
      <c r="J49" s="186"/>
      <c r="K49" s="66"/>
      <c r="L49" s="66"/>
      <c r="M49" s="66"/>
      <c r="N49" s="598"/>
      <c r="O49" s="599"/>
      <c r="P49" s="66"/>
      <c r="Q49" s="92"/>
      <c r="R49" s="495" t="str">
        <f>IF(Q49='3. Parameters kostprijsmodel'!$C$9,'3. Parameters kostprijsmodel'!$D$9,IF(Q49='3. Parameters kostprijsmodel'!$C$10,'3. Parameters kostprijsmodel'!$D$10,IF(Q49='3. Parameters kostprijsmodel'!$C$11,'3. Parameters kostprijsmodel'!$D$11,"")))</f>
        <v/>
      </c>
      <c r="S49" s="146"/>
      <c r="T49" s="153" t="str">
        <f t="shared" si="5"/>
        <v/>
      </c>
      <c r="U49" s="153" t="str">
        <f t="shared" si="5"/>
        <v/>
      </c>
      <c r="W49" s="851"/>
      <c r="X49" s="851"/>
      <c r="Y49" s="851"/>
      <c r="Z49" s="851"/>
    </row>
    <row r="50" spans="1:26" ht="12.95" customHeight="1" x14ac:dyDescent="0.15">
      <c r="A50" s="2"/>
      <c r="C50" s="7"/>
      <c r="D50" s="853"/>
      <c r="E50" s="854"/>
      <c r="F50" s="854"/>
      <c r="G50" s="855"/>
      <c r="H50" s="25"/>
      <c r="I50" s="186"/>
      <c r="J50" s="186"/>
      <c r="K50" s="66"/>
      <c r="L50" s="66"/>
      <c r="M50" s="66"/>
      <c r="N50" s="600"/>
      <c r="O50" s="599"/>
      <c r="P50" s="66"/>
      <c r="Q50" s="92"/>
      <c r="R50" s="495" t="str">
        <f>IF(Q50='3. Parameters kostprijsmodel'!$C$9,'3. Parameters kostprijsmodel'!$D$9,IF(Q50='3. Parameters kostprijsmodel'!$C$10,'3. Parameters kostprijsmodel'!$D$10,IF(Q50='3. Parameters kostprijsmodel'!$C$11,'3. Parameters kostprijsmodel'!$D$11,"")))</f>
        <v/>
      </c>
      <c r="S50" s="146"/>
      <c r="T50" s="153" t="str">
        <f t="shared" si="5"/>
        <v/>
      </c>
      <c r="U50" s="153" t="str">
        <f t="shared" si="5"/>
        <v/>
      </c>
      <c r="W50" s="851"/>
      <c r="X50" s="851"/>
      <c r="Y50" s="851"/>
      <c r="Z50" s="851"/>
    </row>
    <row r="51" spans="1:26" ht="12.95" customHeight="1" x14ac:dyDescent="0.15">
      <c r="A51" s="188"/>
      <c r="B51" s="19"/>
      <c r="C51" s="5"/>
      <c r="D51" s="834" t="s">
        <v>353</v>
      </c>
      <c r="E51" s="835"/>
      <c r="F51" s="835"/>
      <c r="G51" s="836"/>
      <c r="H51" s="925" t="s">
        <v>376</v>
      </c>
      <c r="I51" s="736"/>
      <c r="J51" s="178" t="s">
        <v>171</v>
      </c>
      <c r="K51" s="911">
        <f>2.259/'3. Parameters kostprijsmodel'!C29</f>
        <v>9.0359999999999989E-3</v>
      </c>
      <c r="L51" s="912"/>
      <c r="M51" s="67" t="s">
        <v>275</v>
      </c>
      <c r="N51" s="731" t="s">
        <v>276</v>
      </c>
      <c r="O51" s="732"/>
      <c r="P51" s="71">
        <v>1</v>
      </c>
      <c r="Q51" s="502" t="s">
        <v>172</v>
      </c>
      <c r="R51" s="499">
        <f>IF(Q51='3. Parameters kostprijsmodel'!$C$9,'3. Parameters kostprijsmodel'!$D$9,IF(Q51='3. Parameters kostprijsmodel'!$C$10,'3. Parameters kostprijsmodel'!$D$10,IF(Q51='3. Parameters kostprijsmodel'!$C$11,'3. Parameters kostprijsmodel'!$D$11,"")))</f>
        <v>66.255819148936169</v>
      </c>
      <c r="S51" s="156">
        <v>0</v>
      </c>
      <c r="T51" s="148">
        <f t="shared" ref="T51:T52" si="6">IF($M51="","",$K51*$P51*$R51+$S51)</f>
        <v>0.5986875818297871</v>
      </c>
      <c r="U51" s="148">
        <f t="shared" si="5"/>
        <v>0.5986875818297871</v>
      </c>
      <c r="W51" s="851"/>
      <c r="X51" s="851"/>
      <c r="Y51" s="851"/>
      <c r="Z51" s="851"/>
    </row>
    <row r="52" spans="1:26" ht="12.95" customHeight="1" x14ac:dyDescent="0.15">
      <c r="A52" s="2"/>
      <c r="C52" s="6"/>
      <c r="D52" s="837"/>
      <c r="E52" s="838"/>
      <c r="F52" s="838"/>
      <c r="G52" s="839"/>
      <c r="H52" s="292" t="s">
        <v>377</v>
      </c>
      <c r="I52" s="178"/>
      <c r="J52" s="178" t="s">
        <v>171</v>
      </c>
      <c r="K52" s="930">
        <f>3.557/'3. Parameters kostprijsmodel'!C29</f>
        <v>1.4227999999999999E-2</v>
      </c>
      <c r="L52" s="914"/>
      <c r="M52" s="67" t="s">
        <v>275</v>
      </c>
      <c r="N52" s="731" t="s">
        <v>276</v>
      </c>
      <c r="O52" s="732"/>
      <c r="P52" s="90">
        <v>1</v>
      </c>
      <c r="Q52" s="104" t="s">
        <v>172</v>
      </c>
      <c r="R52" s="170">
        <f>IF(Q52='3. Parameters kostprijsmodel'!$C$9,'3. Parameters kostprijsmodel'!$D$9,IF(Q52='3. Parameters kostprijsmodel'!$C$10,'3. Parameters kostprijsmodel'!$D$10,IF(Q52='3. Parameters kostprijsmodel'!$C$11,'3. Parameters kostprijsmodel'!$D$11,"")))</f>
        <v>66.255819148936169</v>
      </c>
      <c r="S52" s="148">
        <v>0</v>
      </c>
      <c r="T52" s="148">
        <f t="shared" si="6"/>
        <v>0.9426877948510638</v>
      </c>
      <c r="U52" s="148">
        <f t="shared" si="5"/>
        <v>0.9426877948510638</v>
      </c>
      <c r="W52" s="851"/>
      <c r="X52" s="851"/>
      <c r="Y52" s="851"/>
      <c r="Z52" s="851"/>
    </row>
    <row r="53" spans="1:26" ht="12.95" customHeight="1" x14ac:dyDescent="0.15">
      <c r="A53" s="2"/>
      <c r="C53" s="6"/>
      <c r="D53" s="837"/>
      <c r="E53" s="838"/>
      <c r="F53" s="838"/>
      <c r="G53" s="839"/>
      <c r="H53" s="25"/>
      <c r="I53" s="193"/>
      <c r="J53" s="186"/>
      <c r="K53" s="66"/>
      <c r="L53" s="66"/>
      <c r="M53" s="66"/>
      <c r="N53" s="598"/>
      <c r="O53" s="599"/>
      <c r="P53" s="66"/>
      <c r="Q53" s="66"/>
      <c r="R53" s="146" t="str">
        <f>IF(Q53='3. Parameters kostprijsmodel'!$C$9,'3. Parameters kostprijsmodel'!$D$9,IF(Q53='3. Parameters kostprijsmodel'!$C$10,'3. Parameters kostprijsmodel'!$D$10,IF(Q53='3. Parameters kostprijsmodel'!$C$11,'3. Parameters kostprijsmodel'!$D$11,"")))</f>
        <v/>
      </c>
      <c r="S53" s="146"/>
      <c r="T53" s="153" t="str">
        <f t="shared" si="5"/>
        <v/>
      </c>
      <c r="U53" s="153" t="str">
        <f t="shared" si="5"/>
        <v/>
      </c>
      <c r="W53" s="851"/>
      <c r="X53" s="851"/>
      <c r="Y53" s="851"/>
      <c r="Z53" s="851"/>
    </row>
    <row r="54" spans="1:26" ht="12.95" customHeight="1" x14ac:dyDescent="0.15">
      <c r="A54" s="2"/>
      <c r="C54" s="6"/>
      <c r="D54" s="837"/>
      <c r="E54" s="838"/>
      <c r="F54" s="838"/>
      <c r="G54" s="839"/>
      <c r="H54" s="25"/>
      <c r="I54" s="186"/>
      <c r="J54" s="186"/>
      <c r="K54" s="66"/>
      <c r="L54" s="66"/>
      <c r="M54" s="66"/>
      <c r="N54" s="92"/>
      <c r="O54" s="259"/>
      <c r="P54" s="72"/>
      <c r="Q54" s="66"/>
      <c r="R54" s="66" t="str">
        <f>IF(Q54='3. Parameters kostprijsmodel'!$C$9,'3. Parameters kostprijsmodel'!$D$9,IF(Q54='3. Parameters kostprijsmodel'!$C$10,'3. Parameters kostprijsmodel'!$D$10,IF(Q54='3. Parameters kostprijsmodel'!$C$11,'3. Parameters kostprijsmodel'!$D$11,"")))</f>
        <v/>
      </c>
      <c r="S54" s="72"/>
      <c r="T54" s="72" t="str">
        <f t="shared" si="5"/>
        <v/>
      </c>
      <c r="U54" s="72" t="str">
        <f t="shared" si="5"/>
        <v/>
      </c>
    </row>
    <row r="55" spans="1:26" ht="12.95" customHeight="1" x14ac:dyDescent="0.15">
      <c r="A55" s="2"/>
      <c r="C55" s="6"/>
      <c r="D55" s="837"/>
      <c r="E55" s="838"/>
      <c r="F55" s="838"/>
      <c r="G55" s="839"/>
      <c r="H55" s="25"/>
      <c r="I55" s="186"/>
      <c r="J55" s="186"/>
      <c r="K55" s="39"/>
      <c r="L55" s="39"/>
      <c r="M55" s="39"/>
      <c r="N55" s="509"/>
      <c r="O55" s="507"/>
      <c r="P55" s="40"/>
      <c r="Q55" s="39"/>
      <c r="R55" s="39" t="str">
        <f>IF(Q55='3. Parameters kostprijsmodel'!$C$9,'3. Parameters kostprijsmodel'!$D$9,IF(Q55='3. Parameters kostprijsmodel'!$C$10,'3. Parameters kostprijsmodel'!$D$10,IF(Q55='3. Parameters kostprijsmodel'!$C$11,'3. Parameters kostprijsmodel'!$D$11,"")))</f>
        <v/>
      </c>
      <c r="S55" s="40"/>
      <c r="T55" s="40" t="str">
        <f t="shared" si="5"/>
        <v/>
      </c>
      <c r="U55" s="40" t="str">
        <f t="shared" si="5"/>
        <v/>
      </c>
    </row>
    <row r="56" spans="1:26" ht="12.95" customHeight="1" x14ac:dyDescent="0.15">
      <c r="A56" s="187"/>
      <c r="B56" s="20"/>
      <c r="C56" s="7"/>
      <c r="D56" s="840"/>
      <c r="E56" s="841"/>
      <c r="F56" s="841"/>
      <c r="G56" s="842"/>
      <c r="H56" s="51"/>
      <c r="I56" s="190"/>
      <c r="J56" s="190"/>
      <c r="K56" s="41"/>
      <c r="L56" s="41"/>
      <c r="M56" s="41"/>
      <c r="N56" s="510"/>
      <c r="O56" s="508"/>
      <c r="P56" s="41"/>
      <c r="Q56" s="41"/>
      <c r="R56" s="41" t="str">
        <f>IF(Q56='3. Parameters kostprijsmodel'!$C$9,'3. Parameters kostprijsmodel'!$D$9,IF(Q56='3. Parameters kostprijsmodel'!$C$10,'3. Parameters kostprijsmodel'!$D$10,IF(Q56='3. Parameters kostprijsmodel'!$C$11,'3. Parameters kostprijsmodel'!$D$11,"")))</f>
        <v/>
      </c>
      <c r="S56" s="41"/>
      <c r="T56" s="40" t="str">
        <f t="shared" si="5"/>
        <v/>
      </c>
      <c r="U56" s="40" t="str">
        <f t="shared" si="5"/>
        <v/>
      </c>
    </row>
    <row r="57" spans="1:26" ht="12.95" customHeight="1" x14ac:dyDescent="0.15">
      <c r="A57" s="10"/>
      <c r="B57" s="11"/>
      <c r="C57" s="11"/>
      <c r="D57" s="11"/>
      <c r="E57" s="11"/>
      <c r="F57" s="11"/>
      <c r="G57" s="11"/>
      <c r="H57" s="11"/>
      <c r="I57" s="11"/>
      <c r="J57" s="11"/>
      <c r="K57" s="14"/>
      <c r="L57" s="14"/>
      <c r="M57" s="14"/>
      <c r="N57" s="125"/>
      <c r="O57" s="125"/>
      <c r="P57" s="14"/>
      <c r="Q57" s="14"/>
      <c r="R57" s="14"/>
      <c r="S57" s="14"/>
      <c r="T57" s="14"/>
      <c r="U57" s="14"/>
    </row>
    <row r="58" spans="1:26" ht="12.95" customHeight="1" x14ac:dyDescent="0.15">
      <c r="A58" s="12"/>
      <c r="B58" s="13"/>
      <c r="C58" s="13"/>
      <c r="D58" s="13"/>
      <c r="E58" s="13"/>
      <c r="F58" s="13"/>
      <c r="G58" s="13"/>
      <c r="H58" s="13"/>
      <c r="I58" s="13"/>
      <c r="J58" s="13"/>
      <c r="K58" s="16"/>
      <c r="L58" s="16"/>
      <c r="M58" s="16"/>
      <c r="N58" s="118"/>
      <c r="O58" s="118"/>
      <c r="P58" s="16"/>
      <c r="Q58" s="16"/>
      <c r="R58" s="16"/>
      <c r="S58" s="16"/>
      <c r="T58" s="16"/>
      <c r="U58" s="16"/>
    </row>
    <row r="59" spans="1:26" s="8" customFormat="1" ht="12.95" customHeight="1" x14ac:dyDescent="0.15">
      <c r="A59" s="3"/>
      <c r="B59" s="3"/>
      <c r="C59" s="3"/>
      <c r="D59" s="3"/>
      <c r="E59" s="3"/>
      <c r="F59" s="3"/>
      <c r="G59" s="3"/>
      <c r="H59" s="3"/>
      <c r="I59" s="3"/>
      <c r="J59" s="3"/>
      <c r="N59" s="119"/>
      <c r="O59" s="119"/>
      <c r="V59" s="3"/>
      <c r="W59" s="3"/>
      <c r="X59" s="3"/>
      <c r="Y59" s="3"/>
      <c r="Z59" s="3"/>
    </row>
    <row r="60" spans="1:26" s="8" customFormat="1" ht="12.95" customHeight="1" x14ac:dyDescent="0.15">
      <c r="A60" s="3"/>
      <c r="B60" s="3"/>
      <c r="C60" s="3"/>
      <c r="D60" s="3"/>
      <c r="E60" s="3"/>
      <c r="F60" s="3"/>
      <c r="G60" s="3"/>
      <c r="H60" s="3"/>
      <c r="I60" s="3"/>
      <c r="J60" s="3"/>
      <c r="N60" s="119"/>
      <c r="O60" s="119"/>
      <c r="V60" s="3"/>
      <c r="W60" s="3"/>
      <c r="X60" s="3"/>
      <c r="Y60" s="3"/>
      <c r="Z60" s="3"/>
    </row>
    <row r="61" spans="1:26" s="8" customFormat="1" ht="12.95" customHeight="1" x14ac:dyDescent="0.15">
      <c r="A61" s="3"/>
      <c r="B61" s="3"/>
      <c r="C61" s="3"/>
      <c r="D61" s="3"/>
      <c r="E61" s="3"/>
      <c r="F61" s="3"/>
      <c r="G61" s="3"/>
      <c r="H61" s="3"/>
      <c r="I61" s="3"/>
      <c r="J61" s="3"/>
      <c r="N61" s="119"/>
      <c r="O61" s="119"/>
      <c r="V61" s="3"/>
      <c r="W61" s="3"/>
      <c r="X61" s="3"/>
      <c r="Y61" s="3"/>
      <c r="Z61" s="3"/>
    </row>
    <row r="62" spans="1:26" s="8" customFormat="1" ht="12.95" customHeight="1" x14ac:dyDescent="0.15">
      <c r="A62" s="3"/>
      <c r="B62" s="3"/>
      <c r="C62" s="3"/>
      <c r="D62" s="3"/>
      <c r="E62" s="3"/>
      <c r="F62" s="3"/>
      <c r="G62" s="3"/>
      <c r="H62" s="3"/>
      <c r="I62" s="3"/>
      <c r="J62" s="3"/>
      <c r="N62" s="119"/>
      <c r="O62" s="119"/>
      <c r="V62" s="3"/>
      <c r="W62" s="3"/>
      <c r="X62" s="3"/>
      <c r="Y62" s="3"/>
      <c r="Z62" s="3"/>
    </row>
    <row r="63" spans="1:26" s="8" customFormat="1" ht="12.95" customHeight="1" x14ac:dyDescent="0.15">
      <c r="A63" s="3"/>
      <c r="B63" s="3"/>
      <c r="C63" s="3"/>
      <c r="D63" s="3"/>
      <c r="E63" s="3"/>
      <c r="F63" s="3"/>
      <c r="G63" s="3"/>
      <c r="H63" s="3"/>
      <c r="I63" s="3"/>
      <c r="J63" s="3"/>
      <c r="N63" s="119"/>
      <c r="O63" s="119"/>
      <c r="V63" s="3"/>
      <c r="W63" s="3"/>
      <c r="X63" s="3"/>
      <c r="Y63" s="3"/>
      <c r="Z63" s="3"/>
    </row>
    <row r="64" spans="1:26" s="8" customFormat="1" x14ac:dyDescent="0.15">
      <c r="A64" s="3"/>
      <c r="B64" s="3"/>
      <c r="C64" s="3"/>
      <c r="D64" s="3"/>
      <c r="E64" s="3"/>
      <c r="F64" s="3"/>
      <c r="G64" s="3"/>
      <c r="H64" s="3"/>
      <c r="I64" s="3"/>
      <c r="J64" s="3"/>
      <c r="N64" s="119"/>
      <c r="O64" s="119"/>
      <c r="V64" s="3"/>
      <c r="W64" s="3"/>
      <c r="X64" s="3"/>
      <c r="Y64" s="3"/>
      <c r="Z64" s="3"/>
    </row>
    <row r="65" spans="1:26" s="8" customFormat="1" x14ac:dyDescent="0.15">
      <c r="A65" s="3"/>
      <c r="B65" s="3"/>
      <c r="C65" s="3"/>
      <c r="D65" s="3"/>
      <c r="E65" s="3"/>
      <c r="F65" s="3"/>
      <c r="G65" s="3"/>
      <c r="H65" s="3"/>
      <c r="I65" s="3"/>
      <c r="J65" s="3"/>
      <c r="N65" s="119"/>
      <c r="O65" s="119"/>
      <c r="V65" s="3"/>
      <c r="W65" s="3"/>
      <c r="X65" s="3"/>
      <c r="Y65" s="3"/>
      <c r="Z65" s="3"/>
    </row>
    <row r="66" spans="1:26" s="8" customFormat="1" x14ac:dyDescent="0.15">
      <c r="A66" s="3"/>
      <c r="B66" s="3"/>
      <c r="C66" s="3"/>
      <c r="D66" s="3"/>
      <c r="E66" s="3"/>
      <c r="F66" s="3"/>
      <c r="G66" s="3"/>
      <c r="H66" s="3"/>
      <c r="I66" s="3"/>
      <c r="J66" s="3"/>
      <c r="N66" s="119"/>
      <c r="O66" s="119"/>
      <c r="V66" s="3"/>
      <c r="W66" s="3"/>
      <c r="X66" s="3"/>
      <c r="Y66" s="3"/>
      <c r="Z66" s="3"/>
    </row>
    <row r="67" spans="1:26" s="8" customFormat="1" x14ac:dyDescent="0.15">
      <c r="A67" s="3"/>
      <c r="B67" s="3"/>
      <c r="C67" s="3"/>
      <c r="D67" s="3"/>
      <c r="E67" s="3"/>
      <c r="F67" s="3"/>
      <c r="G67" s="3"/>
      <c r="H67" s="3"/>
      <c r="I67" s="3"/>
      <c r="J67" s="3"/>
      <c r="N67" s="119"/>
      <c r="O67" s="119"/>
      <c r="V67" s="3"/>
      <c r="W67" s="3"/>
      <c r="X67" s="3"/>
      <c r="Y67" s="3"/>
      <c r="Z67" s="3"/>
    </row>
    <row r="68" spans="1:26" s="8" customFormat="1" x14ac:dyDescent="0.15">
      <c r="A68" s="3"/>
      <c r="B68" s="3"/>
      <c r="C68" s="3"/>
      <c r="D68" s="3"/>
      <c r="E68" s="3"/>
      <c r="F68" s="3"/>
      <c r="G68" s="3"/>
      <c r="H68" s="3"/>
      <c r="I68" s="3"/>
      <c r="J68" s="3"/>
      <c r="N68" s="119"/>
      <c r="O68" s="119"/>
      <c r="V68" s="3"/>
      <c r="W68" s="3"/>
      <c r="X68" s="3"/>
      <c r="Y68" s="3"/>
      <c r="Z68" s="3"/>
    </row>
    <row r="69" spans="1:26" s="8" customFormat="1" x14ac:dyDescent="0.15">
      <c r="A69" s="3"/>
      <c r="B69" s="3"/>
      <c r="C69" s="3"/>
      <c r="D69" s="3"/>
      <c r="E69" s="3"/>
      <c r="F69" s="3"/>
      <c r="G69" s="3"/>
      <c r="H69" s="3"/>
      <c r="I69" s="3"/>
      <c r="J69" s="3"/>
      <c r="N69" s="119"/>
      <c r="O69" s="119"/>
      <c r="V69" s="3"/>
      <c r="W69" s="3"/>
      <c r="X69" s="3"/>
      <c r="Y69" s="3"/>
      <c r="Z69" s="3"/>
    </row>
    <row r="70" spans="1:26" s="8" customFormat="1" x14ac:dyDescent="0.15">
      <c r="A70" s="3"/>
      <c r="B70" s="3"/>
      <c r="C70" s="3"/>
      <c r="D70" s="3"/>
      <c r="E70" s="3"/>
      <c r="F70" s="3"/>
      <c r="G70" s="3"/>
      <c r="H70" s="3"/>
      <c r="I70" s="3"/>
      <c r="J70" s="3"/>
      <c r="N70" s="119"/>
      <c r="O70" s="119"/>
      <c r="V70" s="3"/>
      <c r="W70" s="3"/>
      <c r="X70" s="3"/>
      <c r="Y70" s="3"/>
      <c r="Z70" s="3"/>
    </row>
    <row r="71" spans="1:26" s="8" customFormat="1" x14ac:dyDescent="0.15">
      <c r="A71" s="3"/>
      <c r="B71" s="3"/>
      <c r="C71" s="3"/>
      <c r="D71" s="3"/>
      <c r="E71" s="3"/>
      <c r="F71" s="3"/>
      <c r="G71" s="3"/>
      <c r="H71" s="3"/>
      <c r="I71" s="3"/>
      <c r="J71" s="3"/>
      <c r="N71" s="119"/>
      <c r="O71" s="119"/>
      <c r="V71" s="3"/>
      <c r="W71" s="3"/>
      <c r="X71" s="3"/>
      <c r="Y71" s="3"/>
      <c r="Z71" s="3"/>
    </row>
    <row r="72" spans="1:26" s="8" customFormat="1" x14ac:dyDescent="0.15">
      <c r="A72" s="3"/>
      <c r="B72" s="3"/>
      <c r="C72" s="3"/>
      <c r="D72" s="3"/>
      <c r="E72" s="3"/>
      <c r="F72" s="3"/>
      <c r="G72" s="3"/>
      <c r="H72" s="3"/>
      <c r="I72" s="3"/>
      <c r="J72" s="3"/>
      <c r="N72" s="119"/>
      <c r="O72" s="119"/>
      <c r="V72" s="3"/>
      <c r="W72" s="3"/>
      <c r="X72" s="3"/>
      <c r="Y72" s="3"/>
      <c r="Z72" s="3"/>
    </row>
    <row r="73" spans="1:26" s="8" customFormat="1" x14ac:dyDescent="0.15">
      <c r="A73" s="3"/>
      <c r="B73" s="3"/>
      <c r="C73" s="3"/>
      <c r="D73" s="3"/>
      <c r="E73" s="3"/>
      <c r="F73" s="3"/>
      <c r="G73" s="3"/>
      <c r="H73" s="3"/>
      <c r="I73" s="3"/>
      <c r="J73" s="3"/>
      <c r="N73" s="119"/>
      <c r="O73" s="119"/>
      <c r="V73" s="3"/>
      <c r="W73" s="3"/>
      <c r="X73" s="3"/>
      <c r="Y73" s="3"/>
      <c r="Z73" s="3"/>
    </row>
    <row r="74" spans="1:26" s="8" customFormat="1" x14ac:dyDescent="0.15">
      <c r="A74" s="3"/>
      <c r="B74" s="3"/>
      <c r="C74" s="3"/>
      <c r="D74" s="3"/>
      <c r="E74" s="3"/>
      <c r="F74" s="3"/>
      <c r="G74" s="3"/>
      <c r="H74" s="3"/>
      <c r="I74" s="3"/>
      <c r="J74" s="3"/>
      <c r="N74" s="119"/>
      <c r="O74" s="119"/>
      <c r="V74" s="3"/>
      <c r="W74" s="3"/>
      <c r="X74" s="3"/>
      <c r="Y74" s="3"/>
      <c r="Z74" s="3"/>
    </row>
    <row r="75" spans="1:26" s="8" customFormat="1" x14ac:dyDescent="0.15">
      <c r="A75" s="3"/>
      <c r="B75" s="3"/>
      <c r="C75" s="3"/>
      <c r="D75" s="3"/>
      <c r="E75" s="3"/>
      <c r="F75" s="3"/>
      <c r="G75" s="3"/>
      <c r="H75" s="3"/>
      <c r="I75" s="3"/>
      <c r="J75" s="3"/>
      <c r="N75" s="119"/>
      <c r="O75" s="119"/>
      <c r="V75" s="3"/>
      <c r="W75" s="3"/>
      <c r="X75" s="3"/>
      <c r="Y75" s="3"/>
      <c r="Z75" s="3"/>
    </row>
    <row r="76" spans="1:26" s="8" customFormat="1" x14ac:dyDescent="0.15">
      <c r="A76" s="3"/>
      <c r="B76" s="3"/>
      <c r="C76" s="3"/>
      <c r="D76" s="3"/>
      <c r="E76" s="3"/>
      <c r="F76" s="3"/>
      <c r="G76" s="3"/>
      <c r="H76" s="3"/>
      <c r="I76" s="3"/>
      <c r="J76" s="3"/>
      <c r="N76" s="119"/>
      <c r="O76" s="119"/>
      <c r="V76" s="3"/>
      <c r="W76" s="3"/>
      <c r="X76" s="3"/>
      <c r="Y76" s="3"/>
      <c r="Z76" s="3"/>
    </row>
    <row r="77" spans="1:26" s="8" customFormat="1" x14ac:dyDescent="0.15">
      <c r="A77" s="3"/>
      <c r="B77" s="3"/>
      <c r="C77" s="3"/>
      <c r="D77" s="3"/>
      <c r="E77" s="3"/>
      <c r="F77" s="3"/>
      <c r="G77" s="3"/>
      <c r="H77" s="3"/>
      <c r="I77" s="3"/>
      <c r="J77" s="3"/>
      <c r="N77" s="119"/>
      <c r="O77" s="119"/>
      <c r="V77" s="3"/>
      <c r="W77" s="3"/>
      <c r="X77" s="3"/>
      <c r="Y77" s="3"/>
      <c r="Z77" s="3"/>
    </row>
    <row r="78" spans="1:26" s="8" customFormat="1" x14ac:dyDescent="0.15">
      <c r="A78" s="3"/>
      <c r="B78" s="3"/>
      <c r="C78" s="3"/>
      <c r="D78" s="3"/>
      <c r="E78" s="3"/>
      <c r="F78" s="3"/>
      <c r="G78" s="3"/>
      <c r="H78" s="3"/>
      <c r="I78" s="3"/>
      <c r="J78" s="3"/>
      <c r="N78" s="119"/>
      <c r="O78" s="119"/>
      <c r="V78" s="3"/>
      <c r="W78" s="3"/>
      <c r="X78" s="3"/>
      <c r="Y78" s="3"/>
      <c r="Z78" s="3"/>
    </row>
    <row r="79" spans="1:26" s="8" customFormat="1" x14ac:dyDescent="0.15">
      <c r="A79" s="3"/>
      <c r="B79" s="3"/>
      <c r="C79" s="3"/>
      <c r="D79" s="3"/>
      <c r="E79" s="3"/>
      <c r="F79" s="3"/>
      <c r="G79" s="3"/>
      <c r="H79" s="3"/>
      <c r="I79" s="3"/>
      <c r="J79" s="3"/>
      <c r="N79" s="119"/>
      <c r="O79" s="119"/>
      <c r="V79" s="3"/>
      <c r="W79" s="3"/>
      <c r="X79" s="3"/>
      <c r="Y79" s="3"/>
      <c r="Z79" s="3"/>
    </row>
    <row r="80" spans="1:26" s="8" customFormat="1" x14ac:dyDescent="0.15">
      <c r="A80" s="3"/>
      <c r="B80" s="3"/>
      <c r="C80" s="3"/>
      <c r="D80" s="3"/>
      <c r="E80" s="3"/>
      <c r="F80" s="3"/>
      <c r="G80" s="3"/>
      <c r="H80" s="3"/>
      <c r="I80" s="3"/>
      <c r="J80" s="3"/>
      <c r="N80" s="119"/>
      <c r="O80" s="119"/>
      <c r="V80" s="3"/>
      <c r="W80" s="3"/>
      <c r="X80" s="3"/>
      <c r="Y80" s="3"/>
      <c r="Z80" s="3"/>
    </row>
    <row r="81" spans="1:26" s="8" customFormat="1" x14ac:dyDescent="0.15">
      <c r="A81" s="3"/>
      <c r="B81" s="3"/>
      <c r="C81" s="3"/>
      <c r="D81" s="3"/>
      <c r="E81" s="3"/>
      <c r="F81" s="3"/>
      <c r="G81" s="3"/>
      <c r="H81" s="3"/>
      <c r="I81" s="3"/>
      <c r="J81" s="3"/>
      <c r="N81" s="119"/>
      <c r="O81" s="119"/>
      <c r="V81" s="3"/>
      <c r="W81" s="3"/>
      <c r="X81" s="3"/>
      <c r="Y81" s="3"/>
      <c r="Z81" s="3"/>
    </row>
    <row r="82" spans="1:26" s="8" customFormat="1" x14ac:dyDescent="0.15">
      <c r="A82" s="3"/>
      <c r="B82" s="3"/>
      <c r="C82" s="3"/>
      <c r="D82" s="3"/>
      <c r="E82" s="3"/>
      <c r="F82" s="3"/>
      <c r="G82" s="3"/>
      <c r="H82" s="3"/>
      <c r="I82" s="3"/>
      <c r="J82" s="3"/>
      <c r="N82" s="119"/>
      <c r="O82" s="119"/>
      <c r="V82" s="3"/>
      <c r="W82" s="3"/>
      <c r="X82" s="3"/>
      <c r="Y82" s="3"/>
      <c r="Z82" s="3"/>
    </row>
    <row r="83" spans="1:26" s="8" customFormat="1" x14ac:dyDescent="0.15">
      <c r="A83" s="3"/>
      <c r="B83" s="3"/>
      <c r="C83" s="3"/>
      <c r="D83" s="3"/>
      <c r="E83" s="3"/>
      <c r="F83" s="3"/>
      <c r="G83" s="3"/>
      <c r="H83" s="3"/>
      <c r="I83" s="3"/>
      <c r="J83" s="3"/>
      <c r="N83" s="119"/>
      <c r="O83" s="119"/>
      <c r="V83" s="3"/>
      <c r="W83" s="3"/>
      <c r="X83" s="3"/>
      <c r="Y83" s="3"/>
      <c r="Z83" s="3"/>
    </row>
    <row r="84" spans="1:26" s="8" customFormat="1" x14ac:dyDescent="0.15">
      <c r="A84" s="3"/>
      <c r="B84" s="3"/>
      <c r="C84" s="3"/>
      <c r="D84" s="3"/>
      <c r="E84" s="3"/>
      <c r="F84" s="3"/>
      <c r="G84" s="3"/>
      <c r="H84" s="3"/>
      <c r="I84" s="3"/>
      <c r="J84" s="3"/>
      <c r="N84" s="119"/>
      <c r="O84" s="119"/>
      <c r="V84" s="3"/>
      <c r="W84" s="3"/>
      <c r="X84" s="3"/>
      <c r="Y84" s="3"/>
      <c r="Z84" s="3"/>
    </row>
    <row r="85" spans="1:26" s="8" customFormat="1" x14ac:dyDescent="0.15">
      <c r="A85" s="3"/>
      <c r="B85" s="3"/>
      <c r="C85" s="3"/>
      <c r="D85" s="3"/>
      <c r="E85" s="3"/>
      <c r="F85" s="3"/>
      <c r="G85" s="3"/>
      <c r="H85" s="3"/>
      <c r="I85" s="3"/>
      <c r="J85" s="3"/>
      <c r="N85" s="119"/>
      <c r="O85" s="119"/>
      <c r="V85" s="3"/>
      <c r="W85" s="3"/>
      <c r="X85" s="3"/>
      <c r="Y85" s="3"/>
      <c r="Z85" s="3"/>
    </row>
    <row r="86" spans="1:26" s="8" customFormat="1" x14ac:dyDescent="0.15">
      <c r="A86" s="3"/>
      <c r="B86" s="3"/>
      <c r="C86" s="3"/>
      <c r="D86" s="3"/>
      <c r="E86" s="3"/>
      <c r="F86" s="3"/>
      <c r="G86" s="3"/>
      <c r="H86" s="3"/>
      <c r="I86" s="3"/>
      <c r="J86" s="3"/>
      <c r="N86" s="119"/>
      <c r="O86" s="119"/>
      <c r="V86" s="3"/>
      <c r="W86" s="3"/>
      <c r="X86" s="3"/>
      <c r="Y86" s="3"/>
      <c r="Z86" s="3"/>
    </row>
    <row r="87" spans="1:26" s="8" customFormat="1" x14ac:dyDescent="0.15">
      <c r="A87" s="3"/>
      <c r="B87" s="3"/>
      <c r="C87" s="3"/>
      <c r="D87" s="3"/>
      <c r="E87" s="3"/>
      <c r="F87" s="3"/>
      <c r="G87" s="3"/>
      <c r="H87" s="3"/>
      <c r="I87" s="3"/>
      <c r="J87" s="3"/>
      <c r="N87" s="119"/>
      <c r="O87" s="119"/>
      <c r="V87" s="3"/>
      <c r="W87" s="3"/>
      <c r="X87" s="3"/>
      <c r="Y87" s="3"/>
      <c r="Z87" s="3"/>
    </row>
    <row r="88" spans="1:26" s="8" customFormat="1" x14ac:dyDescent="0.15">
      <c r="A88" s="3"/>
      <c r="B88" s="3"/>
      <c r="C88" s="3"/>
      <c r="D88" s="3"/>
      <c r="E88" s="3"/>
      <c r="F88" s="3"/>
      <c r="G88" s="3"/>
      <c r="H88" s="3"/>
      <c r="I88" s="3"/>
      <c r="J88" s="3"/>
      <c r="N88" s="119"/>
      <c r="O88" s="119"/>
      <c r="V88" s="3"/>
      <c r="W88" s="3"/>
      <c r="X88" s="3"/>
      <c r="Y88" s="3"/>
      <c r="Z88" s="3"/>
    </row>
  </sheetData>
  <mergeCells count="51">
    <mergeCell ref="A1:J2"/>
    <mergeCell ref="N19:O20"/>
    <mergeCell ref="D21:G30"/>
    <mergeCell ref="E4:G12"/>
    <mergeCell ref="N6:O6"/>
    <mergeCell ref="N7:O7"/>
    <mergeCell ref="N8:O8"/>
    <mergeCell ref="N11:R15"/>
    <mergeCell ref="A4:B4"/>
    <mergeCell ref="H33:I33"/>
    <mergeCell ref="H34:I34"/>
    <mergeCell ref="S19:S20"/>
    <mergeCell ref="A19:C20"/>
    <mergeCell ref="N52:O52"/>
    <mergeCell ref="N38:O38"/>
    <mergeCell ref="N39:O39"/>
    <mergeCell ref="N45:O45"/>
    <mergeCell ref="N46:O46"/>
    <mergeCell ref="N51:O51"/>
    <mergeCell ref="N21:O22"/>
    <mergeCell ref="N31:O31"/>
    <mergeCell ref="N32:O32"/>
    <mergeCell ref="N33:O33"/>
    <mergeCell ref="N34:O34"/>
    <mergeCell ref="W41:Z53"/>
    <mergeCell ref="H51:I51"/>
    <mergeCell ref="D51:G56"/>
    <mergeCell ref="D45:G50"/>
    <mergeCell ref="H46:I46"/>
    <mergeCell ref="D38:G44"/>
    <mergeCell ref="H38:I38"/>
    <mergeCell ref="K52:L52"/>
    <mergeCell ref="K51:L51"/>
    <mergeCell ref="K46:L46"/>
    <mergeCell ref="K45:L45"/>
    <mergeCell ref="T19:U19"/>
    <mergeCell ref="C4:D4"/>
    <mergeCell ref="A11:C12"/>
    <mergeCell ref="K31:L31"/>
    <mergeCell ref="K34:L34"/>
    <mergeCell ref="K33:L33"/>
    <mergeCell ref="K32:L32"/>
    <mergeCell ref="D19:D20"/>
    <mergeCell ref="J19:J20"/>
    <mergeCell ref="H19:I20"/>
    <mergeCell ref="P19:P20"/>
    <mergeCell ref="Q19:R20"/>
    <mergeCell ref="K19:L19"/>
    <mergeCell ref="M19:M20"/>
    <mergeCell ref="D31:G37"/>
    <mergeCell ref="H32:I32"/>
  </mergeCells>
  <pageMargins left="0.70866141732283472" right="0.70866141732283472" top="0.74803149606299213" bottom="0.74803149606299213" header="0.31496062992125984" footer="0.31496062992125984"/>
  <pageSetup paperSize="9" scale="37" orientation="landscape" r:id="rId1"/>
  <headerFooter>
    <oddHeader>&amp;L&amp;F&amp;R&amp;A</oddHeader>
    <oddFooter>&amp;L&amp;D&amp;RPagina &amp;P van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SharedContentType xmlns="Microsoft.SharePoint.Taxonomy.ContentTypeSync" SourceId="7c800735-cf70-4eec-ae5a-4ed9571f3e3d" ContentTypeId="0x0101006E99C4B6FCC80546BC5AF035AAE2D246" PreviousValue="false"/>
</file>

<file path=customXml/item3.xml><?xml version="1.0" encoding="utf-8"?>
<ct:contentTypeSchema xmlns:ct="http://schemas.microsoft.com/office/2006/metadata/contentType" xmlns:ma="http://schemas.microsoft.com/office/2006/metadata/properties/metaAttributes" ct:_="" ma:_="" ma:contentTypeName="Offerte meervoudig" ma:contentTypeID="0x0101006E99C4B6FCC80546BC5AF035AAE2D246005A448F20F2DE3448ACB2E0B4658553B5" ma:contentTypeVersion="58" ma:contentTypeDescription="" ma:contentTypeScope="" ma:versionID="e6974078b86d5ae5dc25b9d419e7aac6">
  <xsd:schema xmlns:xsd="http://www.w3.org/2001/XMLSchema" xmlns:xs="http://www.w3.org/2001/XMLSchema" xmlns:p="http://schemas.microsoft.com/office/2006/metadata/properties" xmlns:ns2="ab766f15-1a6d-42ae-97a2-8854072b29d3" targetNamespace="http://schemas.microsoft.com/office/2006/metadata/properties" ma:root="true" ma:fieldsID="03105425fb88dd2e7dcc3ebba619905e" ns2:_="">
    <xsd:import namespace="ab766f15-1a6d-42ae-97a2-8854072b29d3"/>
    <xsd:element name="properties">
      <xsd:complexType>
        <xsd:sequence>
          <xsd:element name="documentManagement">
            <xsd:complexType>
              <xsd:all>
                <xsd:element ref="ns2:Actor" minOccurs="0"/>
                <xsd:element ref="ns2:Dossiernaam" minOccurs="0"/>
                <xsd:element ref="ns2:Niveau" minOccurs="0"/>
                <xsd:element ref="ns2:Onderwerp"/>
                <xsd:element ref="ns2:Tijd" minOccurs="0"/>
                <xsd:element ref="ns2:Trefwoorden" minOccurs="0"/>
                <xsd:element ref="ns2:Datumsjabloongewijzigd" minOccurs="0"/>
                <xsd:element ref="ns2:DatumVersieCreatieapplicatie" minOccurs="0"/>
                <xsd:element ref="ns2:Documentstatus"/>
                <xsd:element ref="ns2:FysiekeLocatie" minOccurs="0"/>
                <xsd:element ref="ns2:NaamCreatieApplicatie" minOccurs="0"/>
                <xsd:element ref="ns2:VernietigenofArchiveren" minOccurs="0"/>
                <xsd:element ref="ns2:VersieCreatieApplicatie" minOccurs="0"/>
                <xsd:element ref="ns2:Vrijetrefwoorden1" minOccurs="0"/>
                <xsd:element ref="ns2:Vrijetrefwoorden2" minOccurs="0"/>
                <xsd:element ref="ns2:Vrijetrefwoorden3" minOccurs="0"/>
                <xsd:element ref="ns2:Vrijetrefwoorden4" minOccurs="0"/>
                <xsd:element ref="ns2:Vrijetrefwoorden5" minOccurs="0"/>
                <xsd:element ref="ns2:_dlc_DocId" minOccurs="0"/>
                <xsd:element ref="ns2:_dlc_DocIdUrl" minOccurs="0"/>
                <xsd:element ref="ns2:_dlc_DocIdPersistId" minOccurs="0"/>
                <xsd:element ref="ns2:Versienummer" minOccurs="0"/>
                <xsd:element ref="ns2:kb1fed7297714dbb8c8a7b7f109c0ad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66f15-1a6d-42ae-97a2-8854072b29d3" elementFormDefault="qualified">
    <xsd:import namespace="http://schemas.microsoft.com/office/2006/documentManagement/types"/>
    <xsd:import namespace="http://schemas.microsoft.com/office/infopath/2007/PartnerControls"/>
    <xsd:element name="Actor" ma:index="8" nillable="true" ma:displayName="Actor" ma:description="Afdeling X, [naam extern taxatiebureau]" ma:internalName="Actor">
      <xsd:simpleType>
        <xsd:restriction base="dms:Text">
          <xsd:maxLength value="255"/>
        </xsd:restriction>
      </xsd:simpleType>
    </xsd:element>
    <xsd:element name="Dossiernaam" ma:index="9" nillable="true" ma:displayName="Dossiernaam" ma:description="Naam of nummer van het dossier waartoe alle onderliggen de stukken aan zijn gelieerd." ma:internalName="Dossiernaam">
      <xsd:simpleType>
        <xsd:restriction base="dms:Text">
          <xsd:maxLength value="255"/>
        </xsd:restriction>
      </xsd:simpleType>
    </xsd:element>
    <xsd:element name="Niveau" ma:index="10" nillable="true" ma:displayName="Niveau" ma:default="Bedrijfsvertrouwelijk" ma:description="Aanduiding van niveau van vertrouwelijkheid" ma:format="RadioButtons" ma:internalName="Niveau">
      <xsd:simpleType>
        <xsd:restriction base="dms:Choice">
          <xsd:enumeration value="Bedrijfsvertrouwelijk"/>
          <xsd:enumeration value="Openbaar"/>
          <xsd:enumeration value="Vertrouwelijk"/>
        </xsd:restriction>
      </xsd:simpleType>
    </xsd:element>
    <xsd:element name="Onderwerp" ma:index="11" ma:displayName="Onderwerp" ma:description="Nadere omschrijving van classificatie(code). Bijvoorbeeld: Waterschade" ma:internalName="Onderwerp" ma:readOnly="false">
      <xsd:simpleType>
        <xsd:restriction base="dms:Text">
          <xsd:maxLength value="255"/>
        </xsd:restriction>
      </xsd:simpleType>
    </xsd:element>
    <xsd:element name="Tijd" ma:index="12" nillable="true" ma:displayName="Tijd" ma:description="Voorbeeld beleidsjaar, boekjaar of aanmaakdatum" ma:format="DateOnly" ma:internalName="Tijd">
      <xsd:simpleType>
        <xsd:restriction base="dms:DateTime"/>
      </xsd:simpleType>
    </xsd:element>
    <xsd:element name="Trefwoorden" ma:index="13" nillable="true" ma:displayName="Trefwoorden" ma:internalName="Trefwoorden" ma:readOnly="false">
      <xsd:simpleType>
        <xsd:restriction base="dms:Text">
          <xsd:maxLength value="255"/>
        </xsd:restriction>
      </xsd:simpleType>
    </xsd:element>
    <xsd:element name="Datumsjabloongewijzigd" ma:index="14" nillable="true" ma:displayName="Datum-sjabloon-gewijzigd" ma:default="[today]" ma:format="DateOnly" ma:internalName="Datumsjabloongewijzigd">
      <xsd:simpleType>
        <xsd:restriction base="dms:DateTime"/>
      </xsd:simpleType>
    </xsd:element>
    <xsd:element name="DatumVersieCreatieapplicatie" ma:index="15" nillable="true" ma:displayName="Datum-Versie-Creatie-applicatie" ma:default="[today]" ma:description="Datum waarop het oorspronkelijke digitale bestand met de creatieapplicatie is gemaakt.&#10;" ma:format="DateOnly" ma:internalName="DatumVersieCreatieapplicatie">
      <xsd:simpleType>
        <xsd:restriction base="dms:DateTime"/>
      </xsd:simpleType>
    </xsd:element>
    <xsd:element name="Documentstatus" ma:index="16" ma:displayName="Document-status" ma:format="Dropdown" ma:internalName="Documentstatus" ma:readOnly="false">
      <xsd:simpleType>
        <xsd:restriction base="dms:Choice">
          <xsd:enumeration value="Vastgesteld"/>
          <xsd:enumeration value="Concept"/>
          <xsd:enumeration value="Voorstel"/>
          <xsd:enumeration value="Definitief"/>
        </xsd:restriction>
      </xsd:simpleType>
    </xsd:element>
    <xsd:element name="FysiekeLocatie" ma:index="17" nillable="true" ma:displayName="Fysieke-Locatie" ma:description="Fysieke locatie + Uniek poststuknummer &#10;" ma:internalName="FysiekeLocatie">
      <xsd:simpleType>
        <xsd:restriction base="dms:Text">
          <xsd:maxLength value="255"/>
        </xsd:restriction>
      </xsd:simpleType>
    </xsd:element>
    <xsd:element name="NaamCreatieApplicatie" ma:index="18" nillable="true" ma:displayName="Naam-Creatie-Applicatie" ma:description="Benaming van de applicatie waarmee het oorspronkelijke bestand is gemaakt." ma:internalName="NaamCreatieApplicatie">
      <xsd:simpleType>
        <xsd:restriction base="dms:Text">
          <xsd:maxLength value="255"/>
        </xsd:restriction>
      </xsd:simpleType>
    </xsd:element>
    <xsd:element name="VernietigenofArchiveren" ma:index="19" nillable="true" ma:displayName="Vernietigen-of-Archiveren" ma:default="Vernietigen" ma:format="Dropdown" ma:internalName="VernietigenofArchiveren">
      <xsd:simpleType>
        <xsd:restriction base="dms:Choice">
          <xsd:enumeration value="Vernietigen"/>
          <xsd:enumeration value="Archiveren"/>
        </xsd:restriction>
      </xsd:simpleType>
    </xsd:element>
    <xsd:element name="VersieCreatieApplicatie" ma:index="20" nillable="true" ma:displayName="Versie-Creatie-Applicatie" ma:description="Nadere aanduiding van de versie van de creatieapplicatie.&#10;" ma:internalName="VersieCreatieApplicatie">
      <xsd:simpleType>
        <xsd:restriction base="dms:Text">
          <xsd:maxLength value="255"/>
        </xsd:restriction>
      </xsd:simpleType>
    </xsd:element>
    <xsd:element name="Vrijetrefwoorden1" ma:index="21" nillable="true" ma:displayName="Vrije-trefwoorden 1" ma:internalName="Vrijetrefwoorden1">
      <xsd:simpleType>
        <xsd:restriction base="dms:Text">
          <xsd:maxLength value="255"/>
        </xsd:restriction>
      </xsd:simpleType>
    </xsd:element>
    <xsd:element name="Vrijetrefwoorden2" ma:index="22" nillable="true" ma:displayName="Vrije-trefwoorden-2" ma:internalName="Vrijetrefwoorden2">
      <xsd:simpleType>
        <xsd:restriction base="dms:Text">
          <xsd:maxLength value="255"/>
        </xsd:restriction>
      </xsd:simpleType>
    </xsd:element>
    <xsd:element name="Vrijetrefwoorden3" ma:index="23" nillable="true" ma:displayName="Vrije-trefwoorden-3" ma:internalName="Vrijetrefwoorden3">
      <xsd:simpleType>
        <xsd:restriction base="dms:Text">
          <xsd:maxLength value="255"/>
        </xsd:restriction>
      </xsd:simpleType>
    </xsd:element>
    <xsd:element name="Vrijetrefwoorden4" ma:index="24" nillable="true" ma:displayName="Vrije-trefwoorden-4" ma:internalName="Vrijetrefwoorden4">
      <xsd:simpleType>
        <xsd:restriction base="dms:Text">
          <xsd:maxLength value="255"/>
        </xsd:restriction>
      </xsd:simpleType>
    </xsd:element>
    <xsd:element name="Vrijetrefwoorden5" ma:index="25" nillable="true" ma:displayName="Vrije-trefwoorden-5" ma:internalName="Vrijetrefwoorden5">
      <xsd:simpleType>
        <xsd:restriction base="dms:Text">
          <xsd:maxLength value="255"/>
        </xsd:restriction>
      </xsd:simpleType>
    </xsd:element>
    <xsd:element name="_dlc_DocId" ma:index="26" nillable="true" ma:displayName="Waarde van de document-id" ma:description="De waarde van de document-id die aan dit item is toegewezen." ma:internalName="_dlc_DocId" ma:readOnly="true">
      <xsd:simpleType>
        <xsd:restriction base="dms:Text"/>
      </xsd:simpleType>
    </xsd:element>
    <xsd:element name="_dlc_DocIdUrl" ma:index="27"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Versienummer" ma:index="29" nillable="true" ma:displayName="Versienummer" ma:internalName="Versienummer">
      <xsd:simpleType>
        <xsd:restriction base="dms:Text">
          <xsd:maxLength value="255"/>
        </xsd:restriction>
      </xsd:simpleType>
    </xsd:element>
    <xsd:element name="kb1fed7297714dbb8c8a7b7f109c0ad0" ma:index="30" ma:taxonomy="true" ma:internalName="kb1fed7297714dbb8c8a7b7f109c0ad0" ma:taxonomyFieldName="Type_x0020_document" ma:displayName="Type document" ma:readOnly="false" ma:default="" ma:fieldId="{4b1fed72-9771-4dbb-8c8a-7b7f109c0ad0}" ma:sspId="7c800735-cf70-4eec-ae5a-4ed9571f3e3d" ma:termSetId="6b7ec9a5-7372-4f83-becc-cbe290c993a1" ma:anchorId="7cc92aa6-1186-4a72-98d4-6e809e8b0385" ma:open="false" ma:isKeyword="false">
      <xsd:complexType>
        <xsd:sequence>
          <xsd:element ref="pc:Terms" minOccurs="0" maxOccurs="1"/>
        </xsd:sequence>
      </xsd:complexType>
    </xsd:element>
    <xsd:element name="TaxCatchAll" ma:index="31" nillable="true" ma:displayName="Taxonomy Catch All Column" ma:hidden="true" ma:list="{9feaecd4-9e33-4d21-aeab-8d060564b209}" ma:internalName="TaxCatchAll" ma:showField="CatchAllData" ma:web="3287e176-9f6b-4b08-a14b-13875bc581e4">
      <xsd:complexType>
        <xsd:complexContent>
          <xsd:extension base="dms:MultiChoiceLookup">
            <xsd:sequence>
              <xsd:element name="Value" type="dms:Lookup" maxOccurs="unbounded" minOccurs="0" nillable="true"/>
            </xsd:sequence>
          </xsd:extension>
        </xsd:complexContent>
      </xsd:complexType>
    </xsd:element>
    <xsd:element name="TaxCatchAllLabel" ma:index="32" nillable="true" ma:displayName="Taxonomy Catch All Column1" ma:hidden="true" ma:list="{9feaecd4-9e33-4d21-aeab-8d060564b209}" ma:internalName="TaxCatchAllLabel" ma:readOnly="true" ma:showField="CatchAllDataLabel" ma:web="3287e176-9f6b-4b08-a14b-13875bc581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ab766f15-1a6d-42ae-97a2-8854072b29d3">
      <Value>28</Value>
    </TaxCatchAll>
    <Onderwerp xmlns="ab766f15-1a6d-42ae-97a2-8854072b29d3">SKP Natuurmonitoring</Onderwerp>
    <Datumsjabloongewijzigd xmlns="ab766f15-1a6d-42ae-97a2-8854072b29d3">2022-10-24T14:15:33+00:00</Datumsjabloongewijzigd>
    <NaamCreatieApplicatie xmlns="ab766f15-1a6d-42ae-97a2-8854072b29d3" xsi:nil="true"/>
    <Trefwoorden xmlns="ab766f15-1a6d-42ae-97a2-8854072b29d3" xsi:nil="true"/>
    <VersieCreatieApplicatie xmlns="ab766f15-1a6d-42ae-97a2-8854072b29d3" xsi:nil="true"/>
    <kb1fed7297714dbb8c8a7b7f109c0ad0 xmlns="ab766f15-1a6d-42ae-97a2-8854072b29d3">
      <Terms xmlns="http://schemas.microsoft.com/office/infopath/2007/PartnerControls">
        <TermInfo xmlns="http://schemas.microsoft.com/office/infopath/2007/PartnerControls">
          <TermName xmlns="http://schemas.microsoft.com/office/infopath/2007/PartnerControls">Overzicht</TermName>
          <TermId xmlns="http://schemas.microsoft.com/office/infopath/2007/PartnerControls">7738c0b1-809b-4602-95da-78cfc7e0511e</TermId>
        </TermInfo>
      </Terms>
    </kb1fed7297714dbb8c8a7b7f109c0ad0>
    <Niveau xmlns="ab766f15-1a6d-42ae-97a2-8854072b29d3">Bedrijfsvertrouwelijk</Niveau>
    <Documentstatus xmlns="ab766f15-1a6d-42ae-97a2-8854072b29d3">Concept</Documentstatus>
    <DatumVersieCreatieapplicatie xmlns="ab766f15-1a6d-42ae-97a2-8854072b29d3">2022-10-24T14:15:33+00:00</DatumVersieCreatieapplicatie>
    <VernietigenofArchiveren xmlns="ab766f15-1a6d-42ae-97a2-8854072b29d3">Vernietigen</VernietigenofArchiveren>
    <Vrijetrefwoorden2 xmlns="ab766f15-1a6d-42ae-97a2-8854072b29d3" xsi:nil="true"/>
    <Vrijetrefwoorden3 xmlns="ab766f15-1a6d-42ae-97a2-8854072b29d3" xsi:nil="true"/>
    <Tijd xmlns="ab766f15-1a6d-42ae-97a2-8854072b29d3" xsi:nil="true"/>
    <Vrijetrefwoorden1 xmlns="ab766f15-1a6d-42ae-97a2-8854072b29d3" xsi:nil="true"/>
    <Versienummer xmlns="ab766f15-1a6d-42ae-97a2-8854072b29d3" xsi:nil="true"/>
    <Dossiernaam xmlns="ab766f15-1a6d-42ae-97a2-8854072b29d3" xsi:nil="true"/>
    <FysiekeLocatie xmlns="ab766f15-1a6d-42ae-97a2-8854072b29d3" xsi:nil="true"/>
    <Vrijetrefwoorden4 xmlns="ab766f15-1a6d-42ae-97a2-8854072b29d3" xsi:nil="true"/>
    <Actor xmlns="ab766f15-1a6d-42ae-97a2-8854072b29d3" xsi:nil="true"/>
    <Vrijetrefwoorden5 xmlns="ab766f15-1a6d-42ae-97a2-8854072b29d3" xsi:nil="true"/>
    <_dlc_DocId xmlns="ab766f15-1a6d-42ae-97a2-8854072b29d3">HUTUZ6SJ37VZ-2139231905-14861</_dlc_DocId>
    <_dlc_DocIdUrl xmlns="ab766f15-1a6d-42ae-97a2-8854072b29d3">
      <Url>https://bij12kantoor.sharepoint.com/sites/natuurbeheer/_layouts/15/DocIdRedir.aspx?ID=HUTUZ6SJ37VZ-2139231905-14861</Url>
      <Description>HUTUZ6SJ37VZ-2139231905-14861</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FC5101-9433-4CBA-85A1-A9D26DB30B21}">
  <ds:schemaRefs>
    <ds:schemaRef ds:uri="http://schemas.microsoft.com/office/2006/metadata/customXsn"/>
  </ds:schemaRefs>
</ds:datastoreItem>
</file>

<file path=customXml/itemProps2.xml><?xml version="1.0" encoding="utf-8"?>
<ds:datastoreItem xmlns:ds="http://schemas.openxmlformats.org/officeDocument/2006/customXml" ds:itemID="{CC52BC10-9C02-452B-B6F7-CE06F0C85B9F}">
  <ds:schemaRefs>
    <ds:schemaRef ds:uri="Microsoft.SharePoint.Taxonomy.ContentTypeSync"/>
  </ds:schemaRefs>
</ds:datastoreItem>
</file>

<file path=customXml/itemProps3.xml><?xml version="1.0" encoding="utf-8"?>
<ds:datastoreItem xmlns:ds="http://schemas.openxmlformats.org/officeDocument/2006/customXml" ds:itemID="{EF3D8492-1B24-4F7D-94EE-8637A0E7B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66f15-1a6d-42ae-97a2-8854072b29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6F7DCFA-5244-4C6B-83D4-592FF969E42A}">
  <ds:schemaRefs>
    <ds:schemaRef ds:uri="http://schemas.microsoft.com/office/2006/metadata/properties"/>
    <ds:schemaRef ds:uri="http://schemas.microsoft.com/office/infopath/2007/PartnerControls"/>
    <ds:schemaRef ds:uri="ab766f15-1a6d-42ae-97a2-8854072b29d3"/>
  </ds:schemaRefs>
</ds:datastoreItem>
</file>

<file path=customXml/itemProps5.xml><?xml version="1.0" encoding="utf-8"?>
<ds:datastoreItem xmlns:ds="http://schemas.openxmlformats.org/officeDocument/2006/customXml" ds:itemID="{93AE3FEB-4FE4-4063-A9C9-DC828BAA8AD6}">
  <ds:schemaRefs>
    <ds:schemaRef ds:uri="http://schemas.microsoft.com/sharepoint/events"/>
  </ds:schemaRefs>
</ds:datastoreItem>
</file>

<file path=customXml/itemProps6.xml><?xml version="1.0" encoding="utf-8"?>
<ds:datastoreItem xmlns:ds="http://schemas.openxmlformats.org/officeDocument/2006/customXml" ds:itemID="{C8BADC16-E3BD-4525-ACFD-EDECE2DBF0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0. Inleiding</vt:lpstr>
      <vt:lpstr>1. Samenvatting</vt:lpstr>
      <vt:lpstr>2. Kostprijs per beheertype</vt:lpstr>
      <vt:lpstr>3. Parameters kostprijsmodel</vt:lpstr>
      <vt:lpstr>4. Beheertypen complexiteit</vt:lpstr>
      <vt:lpstr>5. Vegetatiekartering</vt:lpstr>
      <vt:lpstr>6. Plantenkartering</vt:lpstr>
      <vt:lpstr>7. Broedvogelkartering</vt:lpstr>
      <vt:lpstr>8. Dagvlinders en sprinkhanen</vt:lpstr>
      <vt:lpstr>9. Libellenkartering</vt:lpstr>
      <vt:lpstr>10. Bosstructuurkartering</vt:lpstr>
    </vt:vector>
  </TitlesOfParts>
  <Manager/>
  <Company>Sira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Lisa van Huizen</dc:creator>
  <cp:keywords/>
  <dc:description/>
  <cp:lastModifiedBy>Christian Jansen</cp:lastModifiedBy>
  <cp:revision/>
  <dcterms:created xsi:type="dcterms:W3CDTF">2022-03-30T11:47:09Z</dcterms:created>
  <dcterms:modified xsi:type="dcterms:W3CDTF">2025-02-07T13:43:19Z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0x0101006E99C4B6FCC80546BC5AF035AAE2D246005A448F20F2DE3448ACB2E0B4658553B5</vt:lpwstr>
  </property>
  <property fmtid="{D5CDD505-2E9C-101B-9397-08002B2CF9AE}" pid="3" name="MediaServiceImageTags">
    <vt:lpwstr/>
  </property>
  <property fmtid="{D5CDD505-2E9C-101B-9397-08002B2CF9AE}" pid="4" name="Order">
    <vt:r8>1010900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Type document">
    <vt:lpwstr>28;#Overzicht|7738c0b1-809b-4602-95da-78cfc7e0511e</vt:lpwstr>
  </property>
  <property fmtid="{D5CDD505-2E9C-101B-9397-08002B2CF9AE}" pid="12" name="lcf76f155ced4ddcb4097134ff3c332f">
    <vt:lpwstr/>
  </property>
  <property fmtid="{D5CDD505-2E9C-101B-9397-08002B2CF9AE}" pid="13" name="_dlc_DocIdItemGuid">
    <vt:lpwstr>75a51d99-c8b2-4cbb-b3b6-4d21072e40eb</vt:lpwstr>
  </property>
  <property fmtid="{D5CDD505-2E9C-101B-9397-08002B2CF9AE}" pid="14" name="m220e4a1e72f47f5ac5c877d71d3dca3">
    <vt:lpwstr/>
  </property>
  <property fmtid="{D5CDD505-2E9C-101B-9397-08002B2CF9AE}" pid="15" name="Delen_x0020_met">
    <vt:lpwstr/>
  </property>
  <property fmtid="{D5CDD505-2E9C-101B-9397-08002B2CF9AE}" pid="16" name="Delen met">
    <vt:lpwstr/>
  </property>
</Properties>
</file>